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mfs01\glmdata\jimmyn\Documents\SDBIP\2019-20\"/>
    </mc:Choice>
  </mc:AlternateContent>
  <xr:revisionPtr revIDLastSave="0" documentId="13_ncr:1_{A2CCB71B-F88D-499E-A092-0D3A0BBE702D}" xr6:coauthVersionLast="44" xr6:coauthVersionMax="44" xr10:uidLastSave="{00000000-0000-0000-0000-000000000000}"/>
  <bookViews>
    <workbookView xWindow="-108" yWindow="-108" windowWidth="23256" windowHeight="12576" activeTab="6" xr2:uid="{00000000-000D-0000-FFFF-FFFF00000000}"/>
  </bookViews>
  <sheets>
    <sheet name="COVER" sheetId="15" r:id="rId1"/>
    <sheet name="INDEX" sheetId="14" r:id="rId2"/>
    <sheet name="INTRO" sheetId="18" r:id="rId3"/>
    <sheet name="METHODOLOGY" sheetId="17" r:id="rId4"/>
    <sheet name="STRATEGY" sheetId="19" r:id="rId5"/>
    <sheet name="OPERATIONAL STRATEIES" sheetId="20" r:id="rId6"/>
    <sheet name="Table B3" sheetId="21" r:id="rId7"/>
    <sheet name="Table B4" sheetId="22" r:id="rId8"/>
    <sheet name="Table B5" sheetId="24" r:id="rId9"/>
    <sheet name="SB12" sheetId="23" r:id="rId10"/>
    <sheet name="SB13" sheetId="25" r:id="rId11"/>
    <sheet name="SB14" sheetId="26" r:id="rId12"/>
    <sheet name="MTOD KPI" sheetId="11" r:id="rId13"/>
    <sheet name="BSD KPI" sheetId="12" r:id="rId14"/>
    <sheet name="LED KPI" sheetId="6" r:id="rId15"/>
    <sheet name="MFMV KPI" sheetId="7" r:id="rId16"/>
    <sheet name="GGPP KPI" sheetId="9" r:id="rId17"/>
    <sheet name="CWP 2019-2020" sheetId="29" r:id="rId18"/>
    <sheet name="MTOD Annextue A" sheetId="3" r:id="rId19"/>
    <sheet name="BSD Annexture B" sheetId="4" r:id="rId20"/>
    <sheet name="LED Annexture C" sheetId="5" r:id="rId21"/>
    <sheet name="MFMV Annexture D" sheetId="8" r:id="rId22"/>
    <sheet name="GGPP Annexture E" sheetId="10" r:id="rId23"/>
    <sheet name="Removed Projects" sheetId="31" r:id="rId24"/>
    <sheet name="Signature" sheetId="16" r:id="rId25"/>
  </sheets>
  <externalReferences>
    <externalReference r:id="rId26"/>
    <externalReference r:id="rId27"/>
    <externalReference r:id="rId28"/>
    <externalReference r:id="rId29"/>
  </externalReferences>
  <definedNames>
    <definedName name="_ADJ2">[1]COVER!$B$68</definedName>
    <definedName name="_ADJ4">[1]COVER!$B$70</definedName>
    <definedName name="_ADJ5">[1]COVER!$B$71</definedName>
    <definedName name="ADJB12">[1]COVER!$B$88</definedName>
    <definedName name="ADJB13">'[2]Template names'!$B$89</definedName>
    <definedName name="ADJB14">[1]COVER!$B$90</definedName>
    <definedName name="ADJB16">[1]COVER!$B$92</definedName>
    <definedName name="Approve2">'[3]Template names'!$B$102</definedName>
    <definedName name="Approve4">'[3]Template names'!$B$103</definedName>
    <definedName name="B5B">[4]COVER!$B$63</definedName>
    <definedName name="Date">'[1]Table A3'!$X$10</definedName>
    <definedName name="desc">[1]COVER!$B$19</definedName>
    <definedName name="Head1">'[3]Template names'!$B$2</definedName>
    <definedName name="Head10">[1]COVER!$B$17</definedName>
    <definedName name="Head11">[1]COVER!$B$18</definedName>
    <definedName name="Head12">'[3]Template names'!$B$18</definedName>
    <definedName name="Head13">'[3]Template names'!$B$19</definedName>
    <definedName name="Head14">'[3]Template names'!$B$20</definedName>
    <definedName name="Head15">'[3]Template names'!$B$21</definedName>
    <definedName name="Head16">'[3]Template names'!$B$22</definedName>
    <definedName name="Head17">'[3]Template names'!$B$23</definedName>
    <definedName name="Head18">'[3]Template names'!$B$24</definedName>
    <definedName name="Head19">'[3]Template names'!$B$25</definedName>
    <definedName name="head1A">'[3]Template names'!$B$3</definedName>
    <definedName name="head1b">'[3]Template names'!$B$4</definedName>
    <definedName name="Head2">[1]COVER!$B$5</definedName>
    <definedName name="Head20">'[3]Template names'!$B$26</definedName>
    <definedName name="Head21">'[3]Template names'!$B$27</definedName>
    <definedName name="Head22">'[3]Template names'!$B$28</definedName>
    <definedName name="Head23">'[3]Template names'!$B$29</definedName>
    <definedName name="head27">[1]COVER!$B$21</definedName>
    <definedName name="head27a">[1]COVER!$B$22</definedName>
    <definedName name="Head3">'[3]Template names'!$B$7</definedName>
    <definedName name="Head4">'[3]Template names'!$B$8</definedName>
    <definedName name="Head5">'[3]Template names'!$B$9</definedName>
    <definedName name="Head50">[1]COVER!$B$45</definedName>
    <definedName name="Head51">[1]COVER!$B$46</definedName>
    <definedName name="Head52">[1]COVER!$B$47</definedName>
    <definedName name="Head53">[1]COVER!$B$48</definedName>
    <definedName name="Head54">[1]COVER!$B$49</definedName>
    <definedName name="Head55">[1]COVER!$B$50</definedName>
    <definedName name="Head56">[1]COVER!$B$51</definedName>
    <definedName name="Head5A">[1]COVER!$B$11</definedName>
    <definedName name="Head5b">'[3]Template names'!$B$11</definedName>
    <definedName name="Head6">[1]COVER!$B$13</definedName>
    <definedName name="Head7">[1]COVER!$B$14</definedName>
    <definedName name="Head8">'[3]Template names'!$B$14</definedName>
    <definedName name="Head9">[1]COVER!$B$16</definedName>
    <definedName name="muni">[1]COVER!$B$63</definedName>
    <definedName name="_xlnm.Print_Area" localSheetId="19">'BSD Annexture B'!$A$1:$Q$47</definedName>
    <definedName name="_xlnm.Print_Area" localSheetId="22">'GGPP Annexture E'!$A$1:$Q$7</definedName>
    <definedName name="_xlnm.Print_Area" localSheetId="2">INTRO!$A$1:$B$6</definedName>
    <definedName name="_xlnm.Print_Area" localSheetId="20">'LED Annexture C'!$A$1:$Q$8</definedName>
    <definedName name="_xlnm.Print_Area" localSheetId="21">'MFMV Annexture D'!$A$1:$Q$8</definedName>
    <definedName name="_xlnm.Print_Area" localSheetId="12">'MTOD KPI'!$A$1:$O$29</definedName>
    <definedName name="_xlnm.Print_Area" localSheetId="5">'OPERATIONAL STRATEIES'!$A$1:$C$19</definedName>
    <definedName name="_xlnm.Print_Area" localSheetId="23">'Removed Projects'!$A$1:$Q$28</definedName>
    <definedName name="_xlnm.Print_Area" localSheetId="7">'Table B4'!$A$1:$W$62</definedName>
    <definedName name="_xlnm.Print_Area" localSheetId="8">'Table B5'!$A$1:$L$112</definedName>
    <definedName name="_xlnm.Print_Titles" localSheetId="18">'MTOD Annextue A'!$4:$4</definedName>
    <definedName name="_xlnm.Print_Titles" localSheetId="12">'MTOD KPI'!$1:$1</definedName>
    <definedName name="result">[1]COVER!$B$23</definedName>
    <definedName name="sdbip">[4]COVER!$B$22</definedName>
    <definedName name="TableA25">'[3]Template names'!$B$137</definedName>
    <definedName name="TableA26">'[3]Template names'!$B$138</definedName>
    <definedName name="TableA28">'[3]Template names'!$B$140</definedName>
    <definedName name="Vdesc">[1]COVER!$B$20</definedName>
    <definedName name="Vot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7" i="31" l="1"/>
  <c r="L20" i="31"/>
  <c r="L19" i="31"/>
  <c r="L18" i="31"/>
  <c r="L17" i="31"/>
  <c r="L16" i="31"/>
  <c r="L15" i="31"/>
  <c r="L14" i="31"/>
  <c r="L13" i="31"/>
  <c r="L12" i="31"/>
  <c r="L11" i="31"/>
  <c r="L10" i="31"/>
  <c r="L9" i="31"/>
  <c r="L8" i="31"/>
  <c r="L7" i="31"/>
  <c r="A43" i="26" l="1"/>
  <c r="R41" i="26"/>
  <c r="Q41" i="26"/>
  <c r="P41" i="26"/>
  <c r="N41" i="26" s="1"/>
  <c r="R40" i="26"/>
  <c r="Q40" i="26"/>
  <c r="P40" i="26"/>
  <c r="N40" i="26" s="1"/>
  <c r="R39" i="26"/>
  <c r="Q39" i="26"/>
  <c r="P39" i="26"/>
  <c r="N39" i="26" s="1"/>
  <c r="C38" i="26"/>
  <c r="C42" i="26" s="1"/>
  <c r="M36" i="26"/>
  <c r="L36" i="26"/>
  <c r="K36" i="26"/>
  <c r="K38" i="26" s="1"/>
  <c r="K42" i="26" s="1"/>
  <c r="J36" i="26"/>
  <c r="I36" i="26"/>
  <c r="H36" i="26"/>
  <c r="G36" i="26"/>
  <c r="F36" i="26"/>
  <c r="E36" i="26"/>
  <c r="D36" i="26"/>
  <c r="C36" i="26"/>
  <c r="R35" i="26"/>
  <c r="Q35" i="26"/>
  <c r="P35" i="26"/>
  <c r="N35" i="26" s="1"/>
  <c r="O35" i="26" s="1"/>
  <c r="R34" i="26"/>
  <c r="Q34" i="26"/>
  <c r="P34" i="26"/>
  <c r="N34" i="26" s="1"/>
  <c r="O34" i="26" s="1"/>
  <c r="R33" i="26"/>
  <c r="Q33" i="26"/>
  <c r="P33" i="26"/>
  <c r="N33" i="26" s="1"/>
  <c r="O33" i="26" s="1"/>
  <c r="R32" i="26"/>
  <c r="Q32" i="26"/>
  <c r="P32" i="26"/>
  <c r="N32" i="26"/>
  <c r="O32" i="26" s="1"/>
  <c r="R31" i="26"/>
  <c r="Q31" i="26"/>
  <c r="P31" i="26"/>
  <c r="N31" i="26" s="1"/>
  <c r="O31" i="26" s="1"/>
  <c r="R30" i="26"/>
  <c r="Q30" i="26"/>
  <c r="P30" i="26"/>
  <c r="N30" i="26" s="1"/>
  <c r="O30" i="26" s="1"/>
  <c r="R29" i="26"/>
  <c r="Q29" i="26"/>
  <c r="P29" i="26"/>
  <c r="N29" i="26" s="1"/>
  <c r="O29" i="26" s="1"/>
  <c r="R28" i="26"/>
  <c r="Q28" i="26"/>
  <c r="P28" i="26"/>
  <c r="N28" i="26"/>
  <c r="O28" i="26" s="1"/>
  <c r="R27" i="26"/>
  <c r="Q27" i="26"/>
  <c r="P27" i="26"/>
  <c r="N27" i="26"/>
  <c r="O27" i="26" s="1"/>
  <c r="R26" i="26"/>
  <c r="Q26" i="26"/>
  <c r="P26" i="26"/>
  <c r="N26" i="26" s="1"/>
  <c r="O26" i="26" s="1"/>
  <c r="R25" i="26"/>
  <c r="Q25" i="26"/>
  <c r="P25" i="26"/>
  <c r="M22" i="26"/>
  <c r="M38" i="26" s="1"/>
  <c r="M42" i="26" s="1"/>
  <c r="L22" i="26"/>
  <c r="L38" i="26" s="1"/>
  <c r="L42" i="26" s="1"/>
  <c r="K22" i="26"/>
  <c r="J22" i="26"/>
  <c r="J38" i="26" s="1"/>
  <c r="J42" i="26" s="1"/>
  <c r="I22" i="26"/>
  <c r="I38" i="26" s="1"/>
  <c r="I42" i="26" s="1"/>
  <c r="H22" i="26"/>
  <c r="H38" i="26" s="1"/>
  <c r="H42" i="26" s="1"/>
  <c r="G22" i="26"/>
  <c r="G38" i="26" s="1"/>
  <c r="G42" i="26" s="1"/>
  <c r="F22" i="26"/>
  <c r="F38" i="26" s="1"/>
  <c r="F42" i="26" s="1"/>
  <c r="E22" i="26"/>
  <c r="E38" i="26" s="1"/>
  <c r="E42" i="26" s="1"/>
  <c r="D22" i="26"/>
  <c r="D38" i="26" s="1"/>
  <c r="D42" i="26" s="1"/>
  <c r="C22" i="26"/>
  <c r="R21" i="26"/>
  <c r="Q21" i="26"/>
  <c r="P21" i="26"/>
  <c r="N21" i="26" s="1"/>
  <c r="O21" i="26" s="1"/>
  <c r="R20" i="26"/>
  <c r="Q20" i="26"/>
  <c r="P20" i="26"/>
  <c r="N20" i="26" s="1"/>
  <c r="O20" i="26" s="1"/>
  <c r="R19" i="26"/>
  <c r="Q19" i="26"/>
  <c r="P19" i="26"/>
  <c r="N19" i="26"/>
  <c r="O19" i="26" s="1"/>
  <c r="R18" i="26"/>
  <c r="Q18" i="26"/>
  <c r="P18" i="26"/>
  <c r="N18" i="26" s="1"/>
  <c r="O18" i="26" s="1"/>
  <c r="R17" i="26"/>
  <c r="Q17" i="26"/>
  <c r="P17" i="26"/>
  <c r="N17" i="26" s="1"/>
  <c r="O17" i="26" s="1"/>
  <c r="R16" i="26"/>
  <c r="Q16" i="26"/>
  <c r="P16" i="26"/>
  <c r="N16" i="26" s="1"/>
  <c r="O16" i="26" s="1"/>
  <c r="R15" i="26"/>
  <c r="Q15" i="26"/>
  <c r="P15" i="26"/>
  <c r="N15" i="26" s="1"/>
  <c r="O15" i="26" s="1"/>
  <c r="R14" i="26"/>
  <c r="Q14" i="26"/>
  <c r="P14" i="26"/>
  <c r="N14" i="26" s="1"/>
  <c r="O14" i="26" s="1"/>
  <c r="R13" i="26"/>
  <c r="Q13" i="26"/>
  <c r="P13" i="26"/>
  <c r="N13" i="26" s="1"/>
  <c r="O13" i="26" s="1"/>
  <c r="R12" i="26"/>
  <c r="Q12" i="26"/>
  <c r="P12" i="26"/>
  <c r="N12" i="26"/>
  <c r="O12" i="26" s="1"/>
  <c r="R10" i="26"/>
  <c r="Q10" i="26"/>
  <c r="P10" i="26"/>
  <c r="N10" i="26" s="1"/>
  <c r="O10" i="26" s="1"/>
  <c r="R9" i="26"/>
  <c r="Q9" i="26"/>
  <c r="P9" i="26"/>
  <c r="N9" i="26" s="1"/>
  <c r="O9" i="26" s="1"/>
  <c r="R8" i="26"/>
  <c r="Q8" i="26"/>
  <c r="P8" i="26"/>
  <c r="N8" i="26"/>
  <c r="O8" i="26" s="1"/>
  <c r="R7" i="26"/>
  <c r="Q7" i="26"/>
  <c r="P7" i="26"/>
  <c r="N7" i="26" s="1"/>
  <c r="O7" i="26" s="1"/>
  <c r="R6" i="26"/>
  <c r="Q6" i="26"/>
  <c r="P6" i="26"/>
  <c r="A52" i="25"/>
  <c r="L49" i="25"/>
  <c r="H49" i="25"/>
  <c r="D49" i="25"/>
  <c r="R48" i="25"/>
  <c r="Q48" i="25"/>
  <c r="P48" i="25"/>
  <c r="R47" i="25"/>
  <c r="Q47" i="25"/>
  <c r="P47" i="25"/>
  <c r="N47" i="25" s="1"/>
  <c r="R46" i="25"/>
  <c r="Q46" i="25"/>
  <c r="P46" i="25"/>
  <c r="N46" i="25" s="1"/>
  <c r="R45" i="25"/>
  <c r="Q45" i="25"/>
  <c r="P45" i="25"/>
  <c r="N45" i="25" s="1"/>
  <c r="R44" i="25"/>
  <c r="Q44" i="25"/>
  <c r="P44" i="25"/>
  <c r="N44" i="25" s="1"/>
  <c r="O44" i="25" s="1"/>
  <c r="R43" i="25"/>
  <c r="Q43" i="25"/>
  <c r="P43" i="25"/>
  <c r="M43" i="25"/>
  <c r="L43" i="25"/>
  <c r="K43" i="25"/>
  <c r="J43" i="25"/>
  <c r="I43" i="25"/>
  <c r="H43" i="25"/>
  <c r="G43" i="25"/>
  <c r="F43" i="25"/>
  <c r="N43" i="25" s="1"/>
  <c r="E43" i="25"/>
  <c r="D43" i="25"/>
  <c r="C43" i="25"/>
  <c r="R42" i="25"/>
  <c r="Q42" i="25"/>
  <c r="P42" i="25"/>
  <c r="N42" i="25"/>
  <c r="R41" i="25"/>
  <c r="Q41" i="25"/>
  <c r="P41" i="25"/>
  <c r="N41" i="25" s="1"/>
  <c r="R40" i="25"/>
  <c r="Q40" i="25"/>
  <c r="P40" i="25"/>
  <c r="N40" i="25" s="1"/>
  <c r="R39" i="25"/>
  <c r="Q39" i="25"/>
  <c r="P39" i="25"/>
  <c r="N39" i="25" s="1"/>
  <c r="M39" i="25"/>
  <c r="L39" i="25"/>
  <c r="K39" i="25"/>
  <c r="J39" i="25"/>
  <c r="I39" i="25"/>
  <c r="H39" i="25"/>
  <c r="G39" i="25"/>
  <c r="F39" i="25"/>
  <c r="E39" i="25"/>
  <c r="D39" i="25"/>
  <c r="C39" i="25"/>
  <c r="R38" i="25"/>
  <c r="Q38" i="25"/>
  <c r="P38" i="25"/>
  <c r="N38" i="25" s="1"/>
  <c r="R37" i="25"/>
  <c r="Q37" i="25"/>
  <c r="P37" i="25"/>
  <c r="N37" i="25" s="1"/>
  <c r="O37" i="25" s="1"/>
  <c r="R36" i="25"/>
  <c r="Q36" i="25"/>
  <c r="P36" i="25"/>
  <c r="N36" i="25" s="1"/>
  <c r="O36" i="25" s="1"/>
  <c r="R35" i="25"/>
  <c r="Q35" i="25"/>
  <c r="P35" i="25"/>
  <c r="N35" i="25" s="1"/>
  <c r="O35" i="25" s="1"/>
  <c r="R34" i="25"/>
  <c r="Q34" i="25"/>
  <c r="P34" i="25"/>
  <c r="N34" i="25" s="1"/>
  <c r="O34" i="25" s="1"/>
  <c r="R33" i="25"/>
  <c r="Q33" i="25"/>
  <c r="P33" i="25"/>
  <c r="M33" i="25"/>
  <c r="L33" i="25"/>
  <c r="K33" i="25"/>
  <c r="K49" i="25" s="1"/>
  <c r="J33" i="25"/>
  <c r="I33" i="25"/>
  <c r="H33" i="25"/>
  <c r="G33" i="25"/>
  <c r="F33" i="25"/>
  <c r="E33" i="25"/>
  <c r="D33" i="25"/>
  <c r="C33" i="25"/>
  <c r="C49" i="25" s="1"/>
  <c r="R32" i="25"/>
  <c r="Q32" i="25"/>
  <c r="P32" i="25"/>
  <c r="N32" i="25" s="1"/>
  <c r="O32" i="25" s="1"/>
  <c r="R31" i="25"/>
  <c r="Q31" i="25"/>
  <c r="P31" i="25"/>
  <c r="N31" i="25" s="1"/>
  <c r="O31" i="25" s="1"/>
  <c r="R30" i="25"/>
  <c r="Q30" i="25"/>
  <c r="P30" i="25"/>
  <c r="N30" i="25" s="1"/>
  <c r="O30" i="25" s="1"/>
  <c r="R29" i="25"/>
  <c r="R49" i="25" s="1"/>
  <c r="Q29" i="25"/>
  <c r="P29" i="25"/>
  <c r="M29" i="25"/>
  <c r="M49" i="25" s="1"/>
  <c r="L29" i="25"/>
  <c r="K29" i="25"/>
  <c r="J29" i="25"/>
  <c r="J49" i="25" s="1"/>
  <c r="I29" i="25"/>
  <c r="I49" i="25" s="1"/>
  <c r="H29" i="25"/>
  <c r="G29" i="25"/>
  <c r="G49" i="25" s="1"/>
  <c r="F29" i="25"/>
  <c r="F49" i="25" s="1"/>
  <c r="E29" i="25"/>
  <c r="E49" i="25" s="1"/>
  <c r="D29" i="25"/>
  <c r="C29" i="25"/>
  <c r="G26" i="25"/>
  <c r="R25" i="25"/>
  <c r="Q25" i="25"/>
  <c r="P25" i="25"/>
  <c r="N25" i="25" s="1"/>
  <c r="O25" i="25" s="1"/>
  <c r="A25" i="25"/>
  <c r="A48" i="25" s="1"/>
  <c r="R24" i="25"/>
  <c r="Q24" i="25"/>
  <c r="P24" i="25"/>
  <c r="N24" i="25" s="1"/>
  <c r="O24" i="25" s="1"/>
  <c r="A24" i="25"/>
  <c r="A47" i="25" s="1"/>
  <c r="R23" i="25"/>
  <c r="Q23" i="25"/>
  <c r="P23" i="25"/>
  <c r="N23" i="25" s="1"/>
  <c r="O23" i="25" s="1"/>
  <c r="A23" i="25"/>
  <c r="A46" i="25" s="1"/>
  <c r="R22" i="25"/>
  <c r="Q22" i="25"/>
  <c r="P22" i="25"/>
  <c r="N22" i="25" s="1"/>
  <c r="O22" i="25" s="1"/>
  <c r="A22" i="25"/>
  <c r="A45" i="25" s="1"/>
  <c r="R21" i="25"/>
  <c r="Q21" i="25"/>
  <c r="P21" i="25"/>
  <c r="N21" i="25" s="1"/>
  <c r="O21" i="25" s="1"/>
  <c r="A21" i="25"/>
  <c r="A44" i="25" s="1"/>
  <c r="R20" i="25"/>
  <c r="Q20" i="25"/>
  <c r="P20" i="25"/>
  <c r="N20" i="25" s="1"/>
  <c r="M20" i="25"/>
  <c r="L20" i="25"/>
  <c r="K20" i="25"/>
  <c r="J20" i="25"/>
  <c r="I20" i="25"/>
  <c r="H20" i="25"/>
  <c r="G20" i="25"/>
  <c r="F20" i="25"/>
  <c r="E20" i="25"/>
  <c r="D20" i="25"/>
  <c r="C20" i="25"/>
  <c r="A20" i="25"/>
  <c r="A43" i="25" s="1"/>
  <c r="R19" i="25"/>
  <c r="Q19" i="25"/>
  <c r="P19" i="25"/>
  <c r="N19" i="25" s="1"/>
  <c r="O19" i="25" s="1"/>
  <c r="A19" i="25"/>
  <c r="A42" i="25" s="1"/>
  <c r="R18" i="25"/>
  <c r="Q18" i="25"/>
  <c r="P18" i="25"/>
  <c r="N18" i="25" s="1"/>
  <c r="O18" i="25" s="1"/>
  <c r="A18" i="25"/>
  <c r="A41" i="25" s="1"/>
  <c r="R17" i="25"/>
  <c r="Q17" i="25"/>
  <c r="P17" i="25"/>
  <c r="N17" i="25" s="1"/>
  <c r="O17" i="25" s="1"/>
  <c r="A17" i="25"/>
  <c r="A40" i="25" s="1"/>
  <c r="R16" i="25"/>
  <c r="Q16" i="25"/>
  <c r="P16" i="25"/>
  <c r="N16" i="25" s="1"/>
  <c r="M16" i="25"/>
  <c r="L16" i="25"/>
  <c r="K16" i="25"/>
  <c r="J16" i="25"/>
  <c r="I16" i="25"/>
  <c r="H16" i="25"/>
  <c r="G16" i="25"/>
  <c r="F16" i="25"/>
  <c r="E16" i="25"/>
  <c r="D16" i="25"/>
  <c r="C16" i="25"/>
  <c r="A16" i="25"/>
  <c r="A39" i="25" s="1"/>
  <c r="R15" i="25"/>
  <c r="Q15" i="25"/>
  <c r="P15" i="25"/>
  <c r="N15" i="25" s="1"/>
  <c r="O15" i="25" s="1"/>
  <c r="A15" i="25"/>
  <c r="A38" i="25" s="1"/>
  <c r="R14" i="25"/>
  <c r="Q14" i="25"/>
  <c r="P14" i="25"/>
  <c r="N14" i="25" s="1"/>
  <c r="O14" i="25" s="1"/>
  <c r="A14" i="25"/>
  <c r="A37" i="25" s="1"/>
  <c r="R13" i="25"/>
  <c r="Q13" i="25"/>
  <c r="P13" i="25"/>
  <c r="N13" i="25" s="1"/>
  <c r="O13" i="25" s="1"/>
  <c r="A13" i="25"/>
  <c r="A36" i="25" s="1"/>
  <c r="R12" i="25"/>
  <c r="Q12" i="25"/>
  <c r="P12" i="25"/>
  <c r="N12" i="25" s="1"/>
  <c r="O12" i="25" s="1"/>
  <c r="A12" i="25"/>
  <c r="A35" i="25" s="1"/>
  <c r="R11" i="25"/>
  <c r="Q11" i="25"/>
  <c r="P11" i="25"/>
  <c r="N11" i="25" s="1"/>
  <c r="O11" i="25" s="1"/>
  <c r="A11" i="25"/>
  <c r="A34" i="25" s="1"/>
  <c r="R10" i="25"/>
  <c r="Q10" i="25"/>
  <c r="P10" i="25"/>
  <c r="M10" i="25"/>
  <c r="M26" i="25" s="1"/>
  <c r="L10" i="25"/>
  <c r="K10" i="25"/>
  <c r="K26" i="25" s="1"/>
  <c r="K51" i="25" s="1"/>
  <c r="J10" i="25"/>
  <c r="I10" i="25"/>
  <c r="H10" i="25"/>
  <c r="G10" i="25"/>
  <c r="F10" i="25"/>
  <c r="E10" i="25"/>
  <c r="E26" i="25" s="1"/>
  <c r="D10" i="25"/>
  <c r="C10" i="25"/>
  <c r="A10" i="25"/>
  <c r="A33" i="25" s="1"/>
  <c r="R9" i="25"/>
  <c r="Q9" i="25"/>
  <c r="P9" i="25"/>
  <c r="N9" i="25" s="1"/>
  <c r="O9" i="25" s="1"/>
  <c r="A9" i="25"/>
  <c r="A32" i="25" s="1"/>
  <c r="R8" i="25"/>
  <c r="Q8" i="25"/>
  <c r="P8" i="25"/>
  <c r="N8" i="25" s="1"/>
  <c r="O8" i="25" s="1"/>
  <c r="A8" i="25"/>
  <c r="A31" i="25" s="1"/>
  <c r="R7" i="25"/>
  <c r="Q7" i="25"/>
  <c r="P7" i="25"/>
  <c r="N7" i="25" s="1"/>
  <c r="O7" i="25" s="1"/>
  <c r="A7" i="25"/>
  <c r="A30" i="25" s="1"/>
  <c r="R6" i="25"/>
  <c r="Q6" i="25"/>
  <c r="P6" i="25"/>
  <c r="M6" i="25"/>
  <c r="L6" i="25"/>
  <c r="L26" i="25" s="1"/>
  <c r="L51" i="25" s="1"/>
  <c r="K6" i="25"/>
  <c r="J6" i="25"/>
  <c r="J26" i="25" s="1"/>
  <c r="J51" i="25" s="1"/>
  <c r="I6" i="25"/>
  <c r="I26" i="25" s="1"/>
  <c r="I51" i="25" s="1"/>
  <c r="H6" i="25"/>
  <c r="H26" i="25" s="1"/>
  <c r="H51" i="25" s="1"/>
  <c r="G6" i="25"/>
  <c r="F6" i="25"/>
  <c r="F26" i="25" s="1"/>
  <c r="F51" i="25" s="1"/>
  <c r="E6" i="25"/>
  <c r="D6" i="25"/>
  <c r="D26" i="25" s="1"/>
  <c r="D51" i="25" s="1"/>
  <c r="C6" i="25"/>
  <c r="A6" i="25"/>
  <c r="A29" i="25" s="1"/>
  <c r="N4" i="25"/>
  <c r="M4" i="25"/>
  <c r="L4" i="25"/>
  <c r="K4" i="25"/>
  <c r="J4" i="25"/>
  <c r="I4" i="25"/>
  <c r="H4" i="25"/>
  <c r="G4" i="25"/>
  <c r="F4" i="25"/>
  <c r="E4" i="25"/>
  <c r="D4" i="25"/>
  <c r="C4" i="25"/>
  <c r="A2" i="25"/>
  <c r="A1" i="25"/>
  <c r="A42" i="23"/>
  <c r="M39" i="23"/>
  <c r="M41" i="23" s="1"/>
  <c r="L39" i="23"/>
  <c r="L41" i="23" s="1"/>
  <c r="K39" i="23"/>
  <c r="J39" i="23"/>
  <c r="I39" i="23"/>
  <c r="H39" i="23"/>
  <c r="G39" i="23"/>
  <c r="F39" i="23"/>
  <c r="E39" i="23"/>
  <c r="E41" i="23" s="1"/>
  <c r="D39" i="23"/>
  <c r="D41" i="23" s="1"/>
  <c r="C39" i="23"/>
  <c r="R38" i="23"/>
  <c r="Q38" i="23"/>
  <c r="P38" i="23"/>
  <c r="N38" i="23" s="1"/>
  <c r="O38" i="23" s="1"/>
  <c r="A38" i="23"/>
  <c r="R37" i="23"/>
  <c r="Q37" i="23"/>
  <c r="P37" i="23"/>
  <c r="N37" i="23" s="1"/>
  <c r="O37" i="23" s="1"/>
  <c r="A37" i="23"/>
  <c r="R36" i="23"/>
  <c r="Q36" i="23"/>
  <c r="P36" i="23"/>
  <c r="N36" i="23" s="1"/>
  <c r="O36" i="23" s="1"/>
  <c r="A36" i="23"/>
  <c r="R35" i="23"/>
  <c r="Q35" i="23"/>
  <c r="P35" i="23"/>
  <c r="N35" i="23"/>
  <c r="O35" i="23" s="1"/>
  <c r="A35" i="23"/>
  <c r="R34" i="23"/>
  <c r="Q34" i="23"/>
  <c r="P34" i="23"/>
  <c r="N34" i="23" s="1"/>
  <c r="O34" i="23" s="1"/>
  <c r="A34" i="23"/>
  <c r="R33" i="23"/>
  <c r="Q33" i="23"/>
  <c r="P33" i="23"/>
  <c r="N33" i="23" s="1"/>
  <c r="O33" i="23" s="1"/>
  <c r="A33" i="23"/>
  <c r="R32" i="23"/>
  <c r="Q32" i="23"/>
  <c r="P32" i="23"/>
  <c r="N32" i="23" s="1"/>
  <c r="O32" i="23" s="1"/>
  <c r="A32" i="23"/>
  <c r="R31" i="23"/>
  <c r="Q31" i="23"/>
  <c r="P31" i="23"/>
  <c r="N31" i="23" s="1"/>
  <c r="O31" i="23" s="1"/>
  <c r="A31" i="23"/>
  <c r="R30" i="23"/>
  <c r="Q30" i="23"/>
  <c r="P30" i="23"/>
  <c r="N30" i="23" s="1"/>
  <c r="O30" i="23" s="1"/>
  <c r="A30" i="23"/>
  <c r="R29" i="23"/>
  <c r="Q29" i="23"/>
  <c r="P29" i="23"/>
  <c r="N29" i="23" s="1"/>
  <c r="O29" i="23" s="1"/>
  <c r="A29" i="23"/>
  <c r="R28" i="23"/>
  <c r="Q28" i="23"/>
  <c r="P28" i="23"/>
  <c r="N28" i="23" s="1"/>
  <c r="O28" i="23" s="1"/>
  <c r="A28" i="23"/>
  <c r="R27" i="23"/>
  <c r="Q27" i="23"/>
  <c r="P27" i="23"/>
  <c r="N27" i="23"/>
  <c r="O27" i="23" s="1"/>
  <c r="A27" i="23"/>
  <c r="R26" i="23"/>
  <c r="Q26" i="23"/>
  <c r="P26" i="23"/>
  <c r="N26" i="23" s="1"/>
  <c r="O26" i="23" s="1"/>
  <c r="A26" i="23"/>
  <c r="R25" i="23"/>
  <c r="Q25" i="23"/>
  <c r="P25" i="23"/>
  <c r="N25" i="23" s="1"/>
  <c r="O25" i="23" s="1"/>
  <c r="A25" i="23"/>
  <c r="R24" i="23"/>
  <c r="Q24" i="23"/>
  <c r="P24" i="23"/>
  <c r="N24" i="23" s="1"/>
  <c r="A24" i="23"/>
  <c r="A23" i="23"/>
  <c r="M21" i="23"/>
  <c r="L21" i="23"/>
  <c r="K21" i="23"/>
  <c r="K41" i="23" s="1"/>
  <c r="J21" i="23"/>
  <c r="J41" i="23" s="1"/>
  <c r="I21" i="23"/>
  <c r="I41" i="23" s="1"/>
  <c r="H21" i="23"/>
  <c r="H41" i="23" s="1"/>
  <c r="G21" i="23"/>
  <c r="G41" i="23" s="1"/>
  <c r="F21" i="23"/>
  <c r="F41" i="23" s="1"/>
  <c r="E21" i="23"/>
  <c r="D21" i="23"/>
  <c r="C21" i="23"/>
  <c r="C41" i="23" s="1"/>
  <c r="A21" i="23"/>
  <c r="R20" i="23"/>
  <c r="Q20" i="23"/>
  <c r="P20" i="23"/>
  <c r="N20" i="23" s="1"/>
  <c r="O20" i="23" s="1"/>
  <c r="A20" i="23"/>
  <c r="R19" i="23"/>
  <c r="Q19" i="23"/>
  <c r="P19" i="23"/>
  <c r="N19" i="23" s="1"/>
  <c r="A19" i="23"/>
  <c r="R18" i="23"/>
  <c r="Q18" i="23"/>
  <c r="P18" i="23"/>
  <c r="N18" i="23" s="1"/>
  <c r="A18" i="23"/>
  <c r="R17" i="23"/>
  <c r="Q17" i="23"/>
  <c r="P17" i="23"/>
  <c r="N17" i="23" s="1"/>
  <c r="A17" i="23"/>
  <c r="R16" i="23"/>
  <c r="Q16" i="23"/>
  <c r="P16" i="23"/>
  <c r="N16" i="23" s="1"/>
  <c r="A16" i="23"/>
  <c r="R15" i="23"/>
  <c r="Q15" i="23"/>
  <c r="P15" i="23"/>
  <c r="N15" i="23" s="1"/>
  <c r="A15" i="23"/>
  <c r="R14" i="23"/>
  <c r="Q14" i="23"/>
  <c r="P14" i="23"/>
  <c r="N14" i="23" s="1"/>
  <c r="O14" i="23" s="1"/>
  <c r="A14" i="23"/>
  <c r="R13" i="23"/>
  <c r="Q13" i="23"/>
  <c r="P13" i="23"/>
  <c r="N13" i="23" s="1"/>
  <c r="O13" i="23" s="1"/>
  <c r="A13" i="23"/>
  <c r="R12" i="23"/>
  <c r="Q12" i="23"/>
  <c r="P12" i="23"/>
  <c r="N12" i="23" s="1"/>
  <c r="O12" i="23" s="1"/>
  <c r="A12" i="23"/>
  <c r="R11" i="23"/>
  <c r="Q11" i="23"/>
  <c r="P11" i="23"/>
  <c r="N11" i="23" s="1"/>
  <c r="O11" i="23" s="1"/>
  <c r="A11" i="23"/>
  <c r="R10" i="23"/>
  <c r="Q10" i="23"/>
  <c r="P10" i="23"/>
  <c r="N10" i="23" s="1"/>
  <c r="O10" i="23" s="1"/>
  <c r="A10" i="23"/>
  <c r="R9" i="23"/>
  <c r="Q9" i="23"/>
  <c r="P9" i="23"/>
  <c r="N9" i="23" s="1"/>
  <c r="O9" i="23" s="1"/>
  <c r="A9" i="23"/>
  <c r="R8" i="23"/>
  <c r="Q8" i="23"/>
  <c r="P8" i="23"/>
  <c r="N8" i="23"/>
  <c r="O8" i="23" s="1"/>
  <c r="A8" i="23"/>
  <c r="R7" i="23"/>
  <c r="Q7" i="23"/>
  <c r="P7" i="23"/>
  <c r="N7" i="23" s="1"/>
  <c r="O7" i="23" s="1"/>
  <c r="A7" i="23"/>
  <c r="R6" i="23"/>
  <c r="Q6" i="23"/>
  <c r="P6" i="23"/>
  <c r="N6" i="23" s="1"/>
  <c r="A6" i="23"/>
  <c r="A5" i="23"/>
  <c r="J107" i="24"/>
  <c r="K107" i="24" s="1"/>
  <c r="A107" i="24"/>
  <c r="L106" i="24"/>
  <c r="I106" i="24"/>
  <c r="H106" i="24"/>
  <c r="G106" i="24"/>
  <c r="F106" i="24"/>
  <c r="E106" i="24"/>
  <c r="D106" i="24"/>
  <c r="C106" i="24"/>
  <c r="A106" i="24"/>
  <c r="J105" i="24"/>
  <c r="K105" i="24" s="1"/>
  <c r="A105" i="24"/>
  <c r="L104" i="24"/>
  <c r="I104" i="24"/>
  <c r="H104" i="24"/>
  <c r="G104" i="24"/>
  <c r="F104" i="24"/>
  <c r="E104" i="24"/>
  <c r="D104" i="24"/>
  <c r="C104" i="24"/>
  <c r="A104" i="24"/>
  <c r="J103" i="24"/>
  <c r="K103" i="24" s="1"/>
  <c r="A103" i="24"/>
  <c r="L102" i="24"/>
  <c r="I102" i="24"/>
  <c r="H102" i="24"/>
  <c r="G102" i="24"/>
  <c r="F102" i="24"/>
  <c r="E102" i="24"/>
  <c r="D102" i="24"/>
  <c r="C102" i="24"/>
  <c r="A102" i="24"/>
  <c r="J101" i="24"/>
  <c r="K101" i="24" s="1"/>
  <c r="A101" i="24"/>
  <c r="L100" i="24"/>
  <c r="I100" i="24"/>
  <c r="H100" i="24"/>
  <c r="G100" i="24"/>
  <c r="F100" i="24"/>
  <c r="E100" i="24"/>
  <c r="D100" i="24"/>
  <c r="C100" i="24"/>
  <c r="A100" i="24"/>
  <c r="I99" i="24"/>
  <c r="J99" i="24" s="1"/>
  <c r="C99" i="24"/>
  <c r="C98" i="24" s="1"/>
  <c r="A99" i="24"/>
  <c r="L98" i="24"/>
  <c r="H98" i="24"/>
  <c r="G98" i="24"/>
  <c r="F98" i="24"/>
  <c r="E98" i="24"/>
  <c r="D98" i="24"/>
  <c r="A98" i="24"/>
  <c r="I97" i="24"/>
  <c r="J97" i="24" s="1"/>
  <c r="K97" i="24" s="1"/>
  <c r="A97" i="24"/>
  <c r="L96" i="24"/>
  <c r="H96" i="24"/>
  <c r="G96" i="24"/>
  <c r="F96" i="24"/>
  <c r="E96" i="24"/>
  <c r="D96" i="24"/>
  <c r="C96" i="24"/>
  <c r="A96" i="24"/>
  <c r="J95" i="24"/>
  <c r="K95" i="24" s="1"/>
  <c r="A95" i="24"/>
  <c r="I94" i="24"/>
  <c r="I93" i="24" s="1"/>
  <c r="A94" i="24"/>
  <c r="L93" i="24"/>
  <c r="H93" i="24"/>
  <c r="G93" i="24"/>
  <c r="F93" i="24"/>
  <c r="E93" i="24"/>
  <c r="D93" i="24"/>
  <c r="C93" i="24"/>
  <c r="A93" i="24"/>
  <c r="J92" i="24"/>
  <c r="K92" i="24" s="1"/>
  <c r="A92" i="24"/>
  <c r="I91" i="24"/>
  <c r="J91" i="24" s="1"/>
  <c r="C91" i="24"/>
  <c r="C89" i="24" s="1"/>
  <c r="A91" i="24"/>
  <c r="I90" i="24"/>
  <c r="J90" i="24" s="1"/>
  <c r="K90" i="24" s="1"/>
  <c r="A90" i="24"/>
  <c r="L89" i="24"/>
  <c r="H89" i="24"/>
  <c r="G89" i="24"/>
  <c r="F89" i="24"/>
  <c r="E89" i="24"/>
  <c r="D89" i="24"/>
  <c r="A89" i="24"/>
  <c r="J88" i="24"/>
  <c r="K88" i="24" s="1"/>
  <c r="A88" i="24"/>
  <c r="J87" i="24"/>
  <c r="K87" i="24" s="1"/>
  <c r="A87" i="24"/>
  <c r="J86" i="24"/>
  <c r="K86" i="24" s="1"/>
  <c r="A86" i="24"/>
  <c r="L85" i="24"/>
  <c r="I85" i="24"/>
  <c r="H85" i="24"/>
  <c r="G85" i="24"/>
  <c r="F85" i="24"/>
  <c r="E85" i="24"/>
  <c r="D85" i="24"/>
  <c r="C85" i="24"/>
  <c r="A85" i="24"/>
  <c r="J84" i="24"/>
  <c r="K84" i="24" s="1"/>
  <c r="A84" i="24"/>
  <c r="L83" i="24"/>
  <c r="I83" i="24"/>
  <c r="H83" i="24"/>
  <c r="G83" i="24"/>
  <c r="F83" i="24"/>
  <c r="E83" i="24"/>
  <c r="D83" i="24"/>
  <c r="C83" i="24"/>
  <c r="A83" i="24"/>
  <c r="J82" i="24"/>
  <c r="K82" i="24" s="1"/>
  <c r="A82" i="24"/>
  <c r="L81" i="24"/>
  <c r="I81" i="24"/>
  <c r="H81" i="24"/>
  <c r="G81" i="24"/>
  <c r="F81" i="24"/>
  <c r="E81" i="24"/>
  <c r="D81" i="24"/>
  <c r="C81" i="24"/>
  <c r="A81" i="24"/>
  <c r="J80" i="24"/>
  <c r="K80" i="24" s="1"/>
  <c r="A80" i="24"/>
  <c r="I79" i="24"/>
  <c r="J79" i="24" s="1"/>
  <c r="K79" i="24" s="1"/>
  <c r="A79" i="24"/>
  <c r="J78" i="24"/>
  <c r="C78" i="24"/>
  <c r="A78" i="24"/>
  <c r="J77" i="24"/>
  <c r="K77" i="24" s="1"/>
  <c r="A77" i="24"/>
  <c r="L76" i="24"/>
  <c r="H76" i="24"/>
  <c r="G76" i="24"/>
  <c r="F76" i="24"/>
  <c r="E76" i="24"/>
  <c r="D76" i="24"/>
  <c r="A76" i="24"/>
  <c r="J75" i="24"/>
  <c r="K75" i="24" s="1"/>
  <c r="A75" i="24"/>
  <c r="L74" i="24"/>
  <c r="I74" i="24"/>
  <c r="H74" i="24"/>
  <c r="G74" i="24"/>
  <c r="F74" i="24"/>
  <c r="E74" i="24"/>
  <c r="D74" i="24"/>
  <c r="C74" i="24"/>
  <c r="A74" i="24"/>
  <c r="J73" i="24"/>
  <c r="K73" i="24" s="1"/>
  <c r="A73" i="24"/>
  <c r="J72" i="24"/>
  <c r="K72" i="24" s="1"/>
  <c r="A72" i="24"/>
  <c r="I71" i="24"/>
  <c r="A71" i="24"/>
  <c r="J70" i="24"/>
  <c r="K70" i="24" s="1"/>
  <c r="A70" i="24"/>
  <c r="J69" i="24"/>
  <c r="K69" i="24" s="1"/>
  <c r="A69" i="24"/>
  <c r="I68" i="24"/>
  <c r="J68" i="24" s="1"/>
  <c r="K68" i="24" s="1"/>
  <c r="A68" i="24"/>
  <c r="J67" i="24"/>
  <c r="K67" i="24" s="1"/>
  <c r="A67" i="24"/>
  <c r="I66" i="24"/>
  <c r="J66" i="24" s="1"/>
  <c r="K66" i="24" s="1"/>
  <c r="A66" i="24"/>
  <c r="J65" i="24"/>
  <c r="K65" i="24" s="1"/>
  <c r="A65" i="24"/>
  <c r="J64" i="24"/>
  <c r="K64" i="24" s="1"/>
  <c r="A64" i="24"/>
  <c r="L63" i="24"/>
  <c r="H63" i="24"/>
  <c r="G63" i="24"/>
  <c r="F63" i="24"/>
  <c r="E63" i="24"/>
  <c r="D63" i="24"/>
  <c r="C63" i="24"/>
  <c r="A63" i="24"/>
  <c r="J62" i="24"/>
  <c r="K62" i="24" s="1"/>
  <c r="A62" i="24"/>
  <c r="J61" i="24"/>
  <c r="K61" i="24" s="1"/>
  <c r="A61" i="24"/>
  <c r="L60" i="24"/>
  <c r="I60" i="24"/>
  <c r="H60" i="24"/>
  <c r="G60" i="24"/>
  <c r="F60" i="24"/>
  <c r="E60" i="24"/>
  <c r="D60" i="24"/>
  <c r="C60" i="24"/>
  <c r="A60" i="24"/>
  <c r="J55" i="24"/>
  <c r="K55" i="24" s="1"/>
  <c r="A55" i="24"/>
  <c r="L54" i="24"/>
  <c r="I54" i="24"/>
  <c r="H54" i="24"/>
  <c r="G54" i="24"/>
  <c r="F54" i="24"/>
  <c r="E54" i="24"/>
  <c r="D54" i="24"/>
  <c r="C54" i="24"/>
  <c r="A54" i="24"/>
  <c r="J53" i="24"/>
  <c r="K53" i="24" s="1"/>
  <c r="A53" i="24"/>
  <c r="L52" i="24"/>
  <c r="I52" i="24"/>
  <c r="H52" i="24"/>
  <c r="G52" i="24"/>
  <c r="F52" i="24"/>
  <c r="E52" i="24"/>
  <c r="D52" i="24"/>
  <c r="C52" i="24"/>
  <c r="A52" i="24"/>
  <c r="J51" i="24"/>
  <c r="K51" i="24" s="1"/>
  <c r="A51" i="24"/>
  <c r="L50" i="24"/>
  <c r="I50" i="24"/>
  <c r="H50" i="24"/>
  <c r="G50" i="24"/>
  <c r="F50" i="24"/>
  <c r="E50" i="24"/>
  <c r="D50" i="24"/>
  <c r="C50" i="24"/>
  <c r="A50" i="24"/>
  <c r="J49" i="24"/>
  <c r="K49" i="24" s="1"/>
  <c r="A49" i="24"/>
  <c r="L48" i="24"/>
  <c r="I48" i="24"/>
  <c r="H48" i="24"/>
  <c r="G48" i="24"/>
  <c r="F48" i="24"/>
  <c r="E48" i="24"/>
  <c r="D48" i="24"/>
  <c r="C48" i="24"/>
  <c r="A48" i="24"/>
  <c r="J47" i="24"/>
  <c r="K47" i="24" s="1"/>
  <c r="A47" i="24"/>
  <c r="L46" i="24"/>
  <c r="I46" i="24"/>
  <c r="H46" i="24"/>
  <c r="G46" i="24"/>
  <c r="F46" i="24"/>
  <c r="E46" i="24"/>
  <c r="D46" i="24"/>
  <c r="C46" i="24"/>
  <c r="A46" i="24"/>
  <c r="J45" i="24"/>
  <c r="K45" i="24" s="1"/>
  <c r="A45" i="24"/>
  <c r="L44" i="24"/>
  <c r="I44" i="24"/>
  <c r="H44" i="24"/>
  <c r="G44" i="24"/>
  <c r="F44" i="24"/>
  <c r="E44" i="24"/>
  <c r="D44" i="24"/>
  <c r="C44" i="24"/>
  <c r="A44" i="24"/>
  <c r="J43" i="24"/>
  <c r="K43" i="24" s="1"/>
  <c r="A43" i="24"/>
  <c r="J42" i="24"/>
  <c r="K42" i="24" s="1"/>
  <c r="A42" i="24"/>
  <c r="L41" i="24"/>
  <c r="I41" i="24"/>
  <c r="H41" i="24"/>
  <c r="G41" i="24"/>
  <c r="F41" i="24"/>
  <c r="E41" i="24"/>
  <c r="D41" i="24"/>
  <c r="C41" i="24"/>
  <c r="A41" i="24"/>
  <c r="J40" i="24"/>
  <c r="K40" i="24" s="1"/>
  <c r="A40" i="24"/>
  <c r="L39" i="24"/>
  <c r="L37" i="24" s="1"/>
  <c r="I39" i="24"/>
  <c r="J39" i="24" s="1"/>
  <c r="K39" i="24" s="1"/>
  <c r="A39" i="24"/>
  <c r="J38" i="24"/>
  <c r="K38" i="24" s="1"/>
  <c r="A38" i="24"/>
  <c r="H37" i="24"/>
  <c r="G37" i="24"/>
  <c r="F37" i="24"/>
  <c r="E37" i="24"/>
  <c r="D37" i="24"/>
  <c r="C37" i="24"/>
  <c r="A37" i="24"/>
  <c r="J36" i="24"/>
  <c r="K36" i="24" s="1"/>
  <c r="A36" i="24"/>
  <c r="J35" i="24"/>
  <c r="K35" i="24" s="1"/>
  <c r="A35" i="24"/>
  <c r="J34" i="24"/>
  <c r="K34" i="24" s="1"/>
  <c r="A34" i="24"/>
  <c r="L33" i="24"/>
  <c r="I33" i="24"/>
  <c r="H33" i="24"/>
  <c r="G33" i="24"/>
  <c r="F33" i="24"/>
  <c r="E33" i="24"/>
  <c r="D33" i="24"/>
  <c r="C33" i="24"/>
  <c r="A33" i="24"/>
  <c r="J32" i="24"/>
  <c r="K32" i="24" s="1"/>
  <c r="A32" i="24"/>
  <c r="L31" i="24"/>
  <c r="I31" i="24"/>
  <c r="H31" i="24"/>
  <c r="G31" i="24"/>
  <c r="F31" i="24"/>
  <c r="E31" i="24"/>
  <c r="D31" i="24"/>
  <c r="C31" i="24"/>
  <c r="A31" i="24"/>
  <c r="J30" i="24"/>
  <c r="K30" i="24" s="1"/>
  <c r="A30" i="24"/>
  <c r="L29" i="24"/>
  <c r="I29" i="24"/>
  <c r="H29" i="24"/>
  <c r="G29" i="24"/>
  <c r="F29" i="24"/>
  <c r="E29" i="24"/>
  <c r="D29" i="24"/>
  <c r="C29" i="24"/>
  <c r="A29" i="24"/>
  <c r="J28" i="24"/>
  <c r="K28" i="24" s="1"/>
  <c r="A28" i="24"/>
  <c r="J27" i="24"/>
  <c r="K27" i="24" s="1"/>
  <c r="A27" i="24"/>
  <c r="J26" i="24"/>
  <c r="K26" i="24" s="1"/>
  <c r="A26" i="24"/>
  <c r="J25" i="24"/>
  <c r="K25" i="24" s="1"/>
  <c r="A25" i="24"/>
  <c r="L24" i="24"/>
  <c r="I24" i="24"/>
  <c r="H24" i="24"/>
  <c r="G24" i="24"/>
  <c r="F24" i="24"/>
  <c r="E24" i="24"/>
  <c r="D24" i="24"/>
  <c r="C24" i="24"/>
  <c r="A24" i="24"/>
  <c r="J23" i="24"/>
  <c r="K23" i="24" s="1"/>
  <c r="A23" i="24"/>
  <c r="L22" i="24"/>
  <c r="I22" i="24"/>
  <c r="H22" i="24"/>
  <c r="G22" i="24"/>
  <c r="F22" i="24"/>
  <c r="E22" i="24"/>
  <c r="D22" i="24"/>
  <c r="C22" i="24"/>
  <c r="A22" i="24"/>
  <c r="J21" i="24"/>
  <c r="K21" i="24" s="1"/>
  <c r="A21" i="24"/>
  <c r="J20" i="24"/>
  <c r="K20" i="24" s="1"/>
  <c r="A20" i="24"/>
  <c r="J19" i="24"/>
  <c r="K19" i="24" s="1"/>
  <c r="A19" i="24"/>
  <c r="J18" i="24"/>
  <c r="K18" i="24" s="1"/>
  <c r="A18" i="24"/>
  <c r="J17" i="24"/>
  <c r="K17" i="24" s="1"/>
  <c r="A17" i="24"/>
  <c r="J16" i="24"/>
  <c r="K16" i="24" s="1"/>
  <c r="A16" i="24"/>
  <c r="J15" i="24"/>
  <c r="K15" i="24" s="1"/>
  <c r="A15" i="24"/>
  <c r="J14" i="24"/>
  <c r="K14" i="24" s="1"/>
  <c r="A14" i="24"/>
  <c r="J13" i="24"/>
  <c r="K13" i="24" s="1"/>
  <c r="A13" i="24"/>
  <c r="J12" i="24"/>
  <c r="K12" i="24" s="1"/>
  <c r="A12" i="24"/>
  <c r="L11" i="24"/>
  <c r="I11" i="24"/>
  <c r="H11" i="24"/>
  <c r="G11" i="24"/>
  <c r="F11" i="24"/>
  <c r="E11" i="24"/>
  <c r="D11" i="24"/>
  <c r="C11" i="24"/>
  <c r="A11" i="24"/>
  <c r="J10" i="24"/>
  <c r="K10" i="24" s="1"/>
  <c r="A10" i="24"/>
  <c r="J9" i="24"/>
  <c r="K9" i="24" s="1"/>
  <c r="A9" i="24"/>
  <c r="L8" i="24"/>
  <c r="I8" i="24"/>
  <c r="H8" i="24"/>
  <c r="G8" i="24"/>
  <c r="F8" i="24"/>
  <c r="E8" i="24"/>
  <c r="D8" i="24"/>
  <c r="C8" i="24"/>
  <c r="A8" i="24"/>
  <c r="M2" i="22"/>
  <c r="A50" i="22"/>
  <c r="K48" i="22"/>
  <c r="J48" i="22"/>
  <c r="K46" i="22"/>
  <c r="J46" i="22"/>
  <c r="J44" i="22"/>
  <c r="K44" i="22" s="1"/>
  <c r="J42" i="22"/>
  <c r="K42" i="22" s="1"/>
  <c r="K41" i="22"/>
  <c r="J41" i="22"/>
  <c r="M40" i="22"/>
  <c r="L40" i="22"/>
  <c r="K40" i="22"/>
  <c r="J40" i="22"/>
  <c r="K36" i="22"/>
  <c r="J36" i="22"/>
  <c r="M35" i="22"/>
  <c r="L35" i="22"/>
  <c r="I35" i="22"/>
  <c r="H35" i="22"/>
  <c r="G35" i="22"/>
  <c r="F35" i="22"/>
  <c r="E35" i="22"/>
  <c r="D35" i="22"/>
  <c r="C35" i="22"/>
  <c r="J34" i="22"/>
  <c r="K34" i="22" s="1"/>
  <c r="M33" i="22"/>
  <c r="L33" i="22"/>
  <c r="I33" i="22"/>
  <c r="H33" i="22"/>
  <c r="G33" i="22"/>
  <c r="F33" i="22"/>
  <c r="E33" i="22"/>
  <c r="D33" i="22"/>
  <c r="C33" i="22"/>
  <c r="J32" i="22"/>
  <c r="K32" i="22" s="1"/>
  <c r="M31" i="22"/>
  <c r="L31" i="22"/>
  <c r="I31" i="22"/>
  <c r="H31" i="22"/>
  <c r="G31" i="22"/>
  <c r="F31" i="22"/>
  <c r="E31" i="22"/>
  <c r="D31" i="22"/>
  <c r="C31" i="22"/>
  <c r="J30" i="22"/>
  <c r="K30" i="22" s="1"/>
  <c r="M29" i="22"/>
  <c r="L29" i="22"/>
  <c r="I29" i="22"/>
  <c r="H29" i="22"/>
  <c r="G29" i="22"/>
  <c r="F29" i="22"/>
  <c r="E29" i="22"/>
  <c r="D29" i="22"/>
  <c r="C29" i="22"/>
  <c r="K28" i="22"/>
  <c r="J28" i="22"/>
  <c r="K27" i="22"/>
  <c r="J27" i="22"/>
  <c r="M26" i="22"/>
  <c r="L26" i="22"/>
  <c r="I26" i="22"/>
  <c r="H26" i="22"/>
  <c r="H37" i="22" s="1"/>
  <c r="G26" i="22"/>
  <c r="F26" i="22"/>
  <c r="E26" i="22"/>
  <c r="D26" i="22"/>
  <c r="C26" i="22"/>
  <c r="K22" i="22"/>
  <c r="J22" i="22"/>
  <c r="M21" i="22"/>
  <c r="L21" i="22"/>
  <c r="I21" i="22"/>
  <c r="H21" i="22"/>
  <c r="G21" i="22"/>
  <c r="F21" i="22"/>
  <c r="E21" i="22"/>
  <c r="D21" i="22"/>
  <c r="C21" i="22"/>
  <c r="K20" i="22"/>
  <c r="J20" i="22"/>
  <c r="C20" i="22"/>
  <c r="K19" i="22"/>
  <c r="J19" i="22"/>
  <c r="I18" i="22"/>
  <c r="J18" i="22" s="1"/>
  <c r="K18" i="22" s="1"/>
  <c r="K17" i="22"/>
  <c r="J17" i="22"/>
  <c r="I17" i="22"/>
  <c r="K16" i="22"/>
  <c r="J16" i="22"/>
  <c r="K15" i="22"/>
  <c r="J15" i="22"/>
  <c r="J14" i="22"/>
  <c r="K14" i="22" s="1"/>
  <c r="I14" i="22"/>
  <c r="J13" i="22"/>
  <c r="K13" i="22" s="1"/>
  <c r="M11" i="22"/>
  <c r="L11" i="22"/>
  <c r="I11" i="22"/>
  <c r="H11" i="22"/>
  <c r="G11" i="22"/>
  <c r="F11" i="22"/>
  <c r="E11" i="22"/>
  <c r="D11" i="22"/>
  <c r="C11" i="22"/>
  <c r="M10" i="22"/>
  <c r="L10" i="22"/>
  <c r="I10" i="22"/>
  <c r="H10" i="22"/>
  <c r="G10" i="22"/>
  <c r="F10" i="22"/>
  <c r="E10" i="22"/>
  <c r="D10" i="22"/>
  <c r="C10" i="22"/>
  <c r="M9" i="22"/>
  <c r="L9" i="22"/>
  <c r="I9" i="22"/>
  <c r="H9" i="22"/>
  <c r="G9" i="22"/>
  <c r="F9" i="22"/>
  <c r="E9" i="22"/>
  <c r="D9" i="22"/>
  <c r="C9" i="22"/>
  <c r="M8" i="22"/>
  <c r="L8" i="22"/>
  <c r="I8" i="22"/>
  <c r="H8" i="22"/>
  <c r="G8" i="22"/>
  <c r="F8" i="22"/>
  <c r="E8" i="22"/>
  <c r="J8" i="22" s="1"/>
  <c r="D8" i="22"/>
  <c r="C8" i="22"/>
  <c r="M7" i="22"/>
  <c r="L7" i="22"/>
  <c r="I7" i="22"/>
  <c r="H7" i="22"/>
  <c r="G7" i="22"/>
  <c r="F7" i="22"/>
  <c r="E7" i="22"/>
  <c r="D7" i="22"/>
  <c r="C7" i="22"/>
  <c r="C2" i="21"/>
  <c r="L2" i="21"/>
  <c r="M2" i="21"/>
  <c r="C7" i="21"/>
  <c r="D7" i="21"/>
  <c r="E7" i="21"/>
  <c r="F7" i="21"/>
  <c r="G7" i="21"/>
  <c r="H7" i="21"/>
  <c r="I7" i="21"/>
  <c r="L7" i="21"/>
  <c r="M7" i="21"/>
  <c r="J8" i="21"/>
  <c r="K8" i="21" s="1"/>
  <c r="J9" i="21"/>
  <c r="K9" i="21" s="1"/>
  <c r="A118" i="21"/>
  <c r="A117" i="21"/>
  <c r="J114" i="21"/>
  <c r="K114" i="21" s="1"/>
  <c r="M113" i="21"/>
  <c r="L113" i="21"/>
  <c r="I113" i="21"/>
  <c r="H113" i="21"/>
  <c r="G113" i="21"/>
  <c r="F113" i="21"/>
  <c r="E113" i="21"/>
  <c r="D113" i="21"/>
  <c r="C113" i="21"/>
  <c r="J112" i="21"/>
  <c r="K112" i="21" s="1"/>
  <c r="M111" i="21"/>
  <c r="L111" i="21"/>
  <c r="I111" i="21"/>
  <c r="H111" i="21"/>
  <c r="G111" i="21"/>
  <c r="F111" i="21"/>
  <c r="E111" i="21"/>
  <c r="D111" i="21"/>
  <c r="C111" i="21"/>
  <c r="J110" i="21"/>
  <c r="K110" i="21" s="1"/>
  <c r="M109" i="21"/>
  <c r="L109" i="21"/>
  <c r="I109" i="21"/>
  <c r="H109" i="21"/>
  <c r="G109" i="21"/>
  <c r="F109" i="21"/>
  <c r="E109" i="21"/>
  <c r="D109" i="21"/>
  <c r="C109" i="21"/>
  <c r="J108" i="21"/>
  <c r="K108" i="21" s="1"/>
  <c r="M107" i="21"/>
  <c r="L107" i="21"/>
  <c r="I107" i="21"/>
  <c r="H107" i="21"/>
  <c r="G107" i="21"/>
  <c r="F107" i="21"/>
  <c r="E107" i="21"/>
  <c r="D107" i="21"/>
  <c r="C107" i="21"/>
  <c r="I106" i="21"/>
  <c r="I105" i="21" s="1"/>
  <c r="M105" i="21"/>
  <c r="L105" i="21"/>
  <c r="H105" i="21"/>
  <c r="G105" i="21"/>
  <c r="F105" i="21"/>
  <c r="E105" i="21"/>
  <c r="D105" i="21"/>
  <c r="C105" i="21"/>
  <c r="J104" i="21"/>
  <c r="K104" i="21" s="1"/>
  <c r="J103" i="21"/>
  <c r="K103" i="21" s="1"/>
  <c r="J102" i="21"/>
  <c r="K102" i="21" s="1"/>
  <c r="J101" i="21"/>
  <c r="K101" i="21" s="1"/>
  <c r="J100" i="21"/>
  <c r="K100" i="21" s="1"/>
  <c r="J99" i="21"/>
  <c r="K99" i="21" s="1"/>
  <c r="J98" i="21"/>
  <c r="K98" i="21" s="1"/>
  <c r="J97" i="21"/>
  <c r="K97" i="21" s="1"/>
  <c r="J96" i="21"/>
  <c r="K96" i="21" s="1"/>
  <c r="J95" i="21"/>
  <c r="K95" i="21" s="1"/>
  <c r="M94" i="21"/>
  <c r="L94" i="21"/>
  <c r="I94" i="21"/>
  <c r="H94" i="21"/>
  <c r="G94" i="21"/>
  <c r="F94" i="21"/>
  <c r="E94" i="21"/>
  <c r="D94" i="21"/>
  <c r="C94" i="21"/>
  <c r="J93" i="21"/>
  <c r="K93" i="21" s="1"/>
  <c r="I92" i="21"/>
  <c r="J92" i="21" s="1"/>
  <c r="C92" i="21"/>
  <c r="M91" i="21"/>
  <c r="L91" i="21"/>
  <c r="H91" i="21"/>
  <c r="G91" i="21"/>
  <c r="F91" i="21"/>
  <c r="E91" i="21"/>
  <c r="D91" i="21"/>
  <c r="I90" i="21"/>
  <c r="J90" i="21" s="1"/>
  <c r="K90" i="21" s="1"/>
  <c r="I89" i="21"/>
  <c r="J89" i="21" s="1"/>
  <c r="K89" i="21" s="1"/>
  <c r="I88" i="21"/>
  <c r="J88" i="21" s="1"/>
  <c r="C88" i="21"/>
  <c r="C87" i="21" s="1"/>
  <c r="M87" i="21"/>
  <c r="L87" i="21"/>
  <c r="H87" i="21"/>
  <c r="G87" i="21"/>
  <c r="F87" i="21"/>
  <c r="E87" i="21"/>
  <c r="D87" i="21"/>
  <c r="J86" i="21"/>
  <c r="K86" i="21" s="1"/>
  <c r="I85" i="21"/>
  <c r="J85" i="21" s="1"/>
  <c r="K85" i="21" s="1"/>
  <c r="I84" i="21"/>
  <c r="M83" i="21"/>
  <c r="L83" i="21"/>
  <c r="H83" i="21"/>
  <c r="G83" i="21"/>
  <c r="F83" i="21"/>
  <c r="E83" i="21"/>
  <c r="D83" i="21"/>
  <c r="C83" i="21"/>
  <c r="I82" i="21"/>
  <c r="J82" i="21" s="1"/>
  <c r="K82" i="21" s="1"/>
  <c r="M81" i="21"/>
  <c r="L81" i="21"/>
  <c r="H81" i="21"/>
  <c r="G81" i="21"/>
  <c r="F81" i="21"/>
  <c r="E81" i="21"/>
  <c r="D81" i="21"/>
  <c r="C81" i="21"/>
  <c r="I80" i="21"/>
  <c r="I79" i="21" s="1"/>
  <c r="M79" i="21"/>
  <c r="L79" i="21"/>
  <c r="H79" i="21"/>
  <c r="G79" i="21"/>
  <c r="F79" i="21"/>
  <c r="E79" i="21"/>
  <c r="D79" i="21"/>
  <c r="C79" i="21"/>
  <c r="I78" i="21"/>
  <c r="J78" i="21" s="1"/>
  <c r="K78" i="21" s="1"/>
  <c r="J77" i="21"/>
  <c r="K77" i="21" s="1"/>
  <c r="I76" i="21"/>
  <c r="J75" i="21"/>
  <c r="K75" i="21" s="1"/>
  <c r="M74" i="21"/>
  <c r="L74" i="21"/>
  <c r="H74" i="21"/>
  <c r="G74" i="21"/>
  <c r="F74" i="21"/>
  <c r="E74" i="21"/>
  <c r="D74" i="21"/>
  <c r="C74" i="21"/>
  <c r="J73" i="21"/>
  <c r="K73" i="21" s="1"/>
  <c r="M72" i="21"/>
  <c r="L72" i="21"/>
  <c r="I72" i="21"/>
  <c r="H72" i="21"/>
  <c r="G72" i="21"/>
  <c r="F72" i="21"/>
  <c r="E72" i="21"/>
  <c r="D72" i="21"/>
  <c r="C72" i="21"/>
  <c r="J71" i="21"/>
  <c r="K71" i="21" s="1"/>
  <c r="J70" i="21"/>
  <c r="K70" i="21" s="1"/>
  <c r="I69" i="21"/>
  <c r="J69" i="21" s="1"/>
  <c r="K69" i="21" s="1"/>
  <c r="J68" i="21"/>
  <c r="K68" i="21" s="1"/>
  <c r="I67" i="21"/>
  <c r="J67" i="21" s="1"/>
  <c r="K67" i="21" s="1"/>
  <c r="J66" i="21"/>
  <c r="K66" i="21" s="1"/>
  <c r="I65" i="21"/>
  <c r="J65" i="21" s="1"/>
  <c r="K65" i="21" s="1"/>
  <c r="I64" i="21"/>
  <c r="J64" i="21" s="1"/>
  <c r="K64" i="21" s="1"/>
  <c r="J63" i="21"/>
  <c r="K63" i="21" s="1"/>
  <c r="I62" i="21"/>
  <c r="J62" i="21" s="1"/>
  <c r="K62" i="21" s="1"/>
  <c r="M61" i="21"/>
  <c r="L61" i="21"/>
  <c r="H61" i="21"/>
  <c r="G61" i="21"/>
  <c r="F61" i="21"/>
  <c r="E61" i="21"/>
  <c r="D61" i="21"/>
  <c r="C61" i="21"/>
  <c r="I60" i="21"/>
  <c r="J60" i="21" s="1"/>
  <c r="K60" i="21" s="1"/>
  <c r="I59" i="21"/>
  <c r="M58" i="21"/>
  <c r="L58" i="21"/>
  <c r="H58" i="21"/>
  <c r="G58" i="21"/>
  <c r="F58" i="21"/>
  <c r="E58" i="21"/>
  <c r="D58" i="21"/>
  <c r="C58" i="21"/>
  <c r="J54" i="21"/>
  <c r="K54" i="21" s="1"/>
  <c r="A54" i="21"/>
  <c r="A114" i="21" s="1"/>
  <c r="M53" i="21"/>
  <c r="L53" i="21"/>
  <c r="I53" i="21"/>
  <c r="H53" i="21"/>
  <c r="G53" i="21"/>
  <c r="F53" i="21"/>
  <c r="E53" i="21"/>
  <c r="D53" i="21"/>
  <c r="C53" i="21"/>
  <c r="A53" i="21"/>
  <c r="A113" i="21" s="1"/>
  <c r="J52" i="21"/>
  <c r="K52" i="21" s="1"/>
  <c r="A52" i="21"/>
  <c r="A112" i="21" s="1"/>
  <c r="M51" i="21"/>
  <c r="L51" i="21"/>
  <c r="I51" i="21"/>
  <c r="H51" i="21"/>
  <c r="G51" i="21"/>
  <c r="F51" i="21"/>
  <c r="E51" i="21"/>
  <c r="D51" i="21"/>
  <c r="C51" i="21"/>
  <c r="A51" i="21"/>
  <c r="A111" i="21" s="1"/>
  <c r="J50" i="21"/>
  <c r="K50" i="21" s="1"/>
  <c r="A50" i="21"/>
  <c r="A110" i="21" s="1"/>
  <c r="M49" i="21"/>
  <c r="L49" i="21"/>
  <c r="I49" i="21"/>
  <c r="H49" i="21"/>
  <c r="G49" i="21"/>
  <c r="F49" i="21"/>
  <c r="E49" i="21"/>
  <c r="D49" i="21"/>
  <c r="C49" i="21"/>
  <c r="A49" i="21"/>
  <c r="A109" i="21" s="1"/>
  <c r="J48" i="21"/>
  <c r="K48" i="21" s="1"/>
  <c r="A48" i="21"/>
  <c r="A108" i="21" s="1"/>
  <c r="M47" i="21"/>
  <c r="L47" i="21"/>
  <c r="I47" i="21"/>
  <c r="H47" i="21"/>
  <c r="G47" i="21"/>
  <c r="F47" i="21"/>
  <c r="E47" i="21"/>
  <c r="D47" i="21"/>
  <c r="C47" i="21"/>
  <c r="A47" i="21"/>
  <c r="A107" i="21" s="1"/>
  <c r="J46" i="21"/>
  <c r="K46" i="21" s="1"/>
  <c r="A46" i="21"/>
  <c r="A106" i="21" s="1"/>
  <c r="M45" i="21"/>
  <c r="L45" i="21"/>
  <c r="I45" i="21"/>
  <c r="H45" i="21"/>
  <c r="G45" i="21"/>
  <c r="F45" i="21"/>
  <c r="E45" i="21"/>
  <c r="D45" i="21"/>
  <c r="C45" i="21"/>
  <c r="A45" i="21"/>
  <c r="A105" i="21" s="1"/>
  <c r="A104" i="21"/>
  <c r="A103" i="21"/>
  <c r="A102" i="21"/>
  <c r="A101" i="21"/>
  <c r="A100" i="21"/>
  <c r="A99" i="21"/>
  <c r="A98" i="21"/>
  <c r="A97" i="21"/>
  <c r="A96" i="21"/>
  <c r="J44" i="21"/>
  <c r="K44" i="21" s="1"/>
  <c r="A44" i="21"/>
  <c r="A95" i="21" s="1"/>
  <c r="M43" i="21"/>
  <c r="L43" i="21"/>
  <c r="I43" i="21"/>
  <c r="H43" i="21"/>
  <c r="G43" i="21"/>
  <c r="F43" i="21"/>
  <c r="E43" i="21"/>
  <c r="D43" i="21"/>
  <c r="C43" i="21"/>
  <c r="A43" i="21"/>
  <c r="A94" i="21" s="1"/>
  <c r="J42" i="21"/>
  <c r="K42" i="21" s="1"/>
  <c r="A42" i="21"/>
  <c r="A93" i="21" s="1"/>
  <c r="I41" i="21"/>
  <c r="J41" i="21" s="1"/>
  <c r="C41" i="21"/>
  <c r="C40" i="21" s="1"/>
  <c r="A41" i="21"/>
  <c r="A92" i="21" s="1"/>
  <c r="M40" i="21"/>
  <c r="L40" i="21"/>
  <c r="H40" i="21"/>
  <c r="G40" i="21"/>
  <c r="F40" i="21"/>
  <c r="E40" i="21"/>
  <c r="D40" i="21"/>
  <c r="A40" i="21"/>
  <c r="A91" i="21" s="1"/>
  <c r="J39" i="21"/>
  <c r="K39" i="21" s="1"/>
  <c r="A39" i="21"/>
  <c r="A90" i="21" s="1"/>
  <c r="J38" i="21"/>
  <c r="K38" i="21" s="1"/>
  <c r="A38" i="21"/>
  <c r="A89" i="21" s="1"/>
  <c r="I37" i="21"/>
  <c r="J37" i="21" s="1"/>
  <c r="K37" i="21" s="1"/>
  <c r="A37" i="21"/>
  <c r="A88" i="21" s="1"/>
  <c r="M36" i="21"/>
  <c r="L36" i="21"/>
  <c r="H36" i="21"/>
  <c r="G36" i="21"/>
  <c r="F36" i="21"/>
  <c r="E36" i="21"/>
  <c r="D36" i="21"/>
  <c r="C36" i="21"/>
  <c r="A36" i="21"/>
  <c r="A87" i="21" s="1"/>
  <c r="J35" i="21"/>
  <c r="K35" i="21" s="1"/>
  <c r="A35" i="21"/>
  <c r="A86" i="21" s="1"/>
  <c r="J34" i="21"/>
  <c r="K34" i="21" s="1"/>
  <c r="A34" i="21"/>
  <c r="A85" i="21" s="1"/>
  <c r="J33" i="21"/>
  <c r="K33" i="21" s="1"/>
  <c r="A33" i="21"/>
  <c r="A84" i="21" s="1"/>
  <c r="M32" i="21"/>
  <c r="L32" i="21"/>
  <c r="I32" i="21"/>
  <c r="H32" i="21"/>
  <c r="G32" i="21"/>
  <c r="F32" i="21"/>
  <c r="E32" i="21"/>
  <c r="D32" i="21"/>
  <c r="C32" i="21"/>
  <c r="A32" i="21"/>
  <c r="A83" i="21" s="1"/>
  <c r="J31" i="21"/>
  <c r="K31" i="21" s="1"/>
  <c r="A31" i="21"/>
  <c r="A82" i="21" s="1"/>
  <c r="M30" i="21"/>
  <c r="L30" i="21"/>
  <c r="I30" i="21"/>
  <c r="H30" i="21"/>
  <c r="G30" i="21"/>
  <c r="F30" i="21"/>
  <c r="E30" i="21"/>
  <c r="D30" i="21"/>
  <c r="C30" i="21"/>
  <c r="A30" i="21"/>
  <c r="A81" i="21" s="1"/>
  <c r="J29" i="21"/>
  <c r="K29" i="21" s="1"/>
  <c r="A29" i="21"/>
  <c r="A80" i="21" s="1"/>
  <c r="M28" i="21"/>
  <c r="L28" i="21"/>
  <c r="I28" i="21"/>
  <c r="H28" i="21"/>
  <c r="G28" i="21"/>
  <c r="F28" i="21"/>
  <c r="E28" i="21"/>
  <c r="D28" i="21"/>
  <c r="C28" i="21"/>
  <c r="A28" i="21"/>
  <c r="A79" i="21" s="1"/>
  <c r="J27" i="21"/>
  <c r="K27" i="21" s="1"/>
  <c r="A27" i="21"/>
  <c r="A78" i="21" s="1"/>
  <c r="J26" i="21"/>
  <c r="K26" i="21" s="1"/>
  <c r="A26" i="21"/>
  <c r="A77" i="21" s="1"/>
  <c r="J25" i="21"/>
  <c r="K25" i="21" s="1"/>
  <c r="A25" i="21"/>
  <c r="A76" i="21" s="1"/>
  <c r="J24" i="21"/>
  <c r="K24" i="21" s="1"/>
  <c r="A24" i="21"/>
  <c r="A75" i="21" s="1"/>
  <c r="M23" i="21"/>
  <c r="L23" i="21"/>
  <c r="I23" i="21"/>
  <c r="H23" i="21"/>
  <c r="G23" i="21"/>
  <c r="F23" i="21"/>
  <c r="E23" i="21"/>
  <c r="D23" i="21"/>
  <c r="C23" i="21"/>
  <c r="A23" i="21"/>
  <c r="A74" i="21" s="1"/>
  <c r="J22" i="21"/>
  <c r="K22" i="21" s="1"/>
  <c r="A22" i="21"/>
  <c r="A73" i="21" s="1"/>
  <c r="M21" i="21"/>
  <c r="L21" i="21"/>
  <c r="I21" i="21"/>
  <c r="H21" i="21"/>
  <c r="G21" i="21"/>
  <c r="F21" i="21"/>
  <c r="E21" i="21"/>
  <c r="D21" i="21"/>
  <c r="C21" i="21"/>
  <c r="A21" i="21"/>
  <c r="A72" i="21" s="1"/>
  <c r="J20" i="21"/>
  <c r="K20" i="21" s="1"/>
  <c r="A20" i="21"/>
  <c r="A71" i="21" s="1"/>
  <c r="J19" i="21"/>
  <c r="K19" i="21" s="1"/>
  <c r="A19" i="21"/>
  <c r="A70" i="21" s="1"/>
  <c r="J18" i="21"/>
  <c r="K18" i="21" s="1"/>
  <c r="A18" i="21"/>
  <c r="A69" i="21" s="1"/>
  <c r="J17" i="21"/>
  <c r="K17" i="21" s="1"/>
  <c r="A17" i="21"/>
  <c r="A68" i="21" s="1"/>
  <c r="J16" i="21"/>
  <c r="K16" i="21" s="1"/>
  <c r="A16" i="21"/>
  <c r="A67" i="21" s="1"/>
  <c r="J15" i="21"/>
  <c r="K15" i="21" s="1"/>
  <c r="A15" i="21"/>
  <c r="A66" i="21" s="1"/>
  <c r="J14" i="21"/>
  <c r="K14" i="21" s="1"/>
  <c r="A14" i="21"/>
  <c r="A65" i="21" s="1"/>
  <c r="I13" i="21"/>
  <c r="I10" i="21" s="1"/>
  <c r="A13" i="21"/>
  <c r="A64" i="21" s="1"/>
  <c r="J12" i="21"/>
  <c r="K12" i="21" s="1"/>
  <c r="A12" i="21"/>
  <c r="A63" i="21" s="1"/>
  <c r="J11" i="21"/>
  <c r="K11" i="21" s="1"/>
  <c r="A11" i="21"/>
  <c r="A62" i="21" s="1"/>
  <c r="M10" i="21"/>
  <c r="L10" i="21"/>
  <c r="H10" i="21"/>
  <c r="G10" i="21"/>
  <c r="F10" i="21"/>
  <c r="E10" i="21"/>
  <c r="D10" i="21"/>
  <c r="C10" i="21"/>
  <c r="A10" i="21"/>
  <c r="A61" i="21" s="1"/>
  <c r="A9" i="21"/>
  <c r="A60" i="21" s="1"/>
  <c r="A8" i="21"/>
  <c r="A59" i="21" s="1"/>
  <c r="A7" i="21"/>
  <c r="A58" i="21" s="1"/>
  <c r="B2" i="21"/>
  <c r="C37" i="22" l="1"/>
  <c r="J7" i="22"/>
  <c r="D37" i="22"/>
  <c r="F37" i="22"/>
  <c r="G37" i="22"/>
  <c r="Q26" i="25"/>
  <c r="C23" i="22"/>
  <c r="J21" i="22"/>
  <c r="K21" i="22" s="1"/>
  <c r="L37" i="22"/>
  <c r="J33" i="22"/>
  <c r="I76" i="24"/>
  <c r="J76" i="24" s="1"/>
  <c r="J50" i="24"/>
  <c r="K50" i="24" s="1"/>
  <c r="J52" i="24"/>
  <c r="K52" i="24" s="1"/>
  <c r="J106" i="24"/>
  <c r="K91" i="24"/>
  <c r="J54" i="24"/>
  <c r="K54" i="24" s="1"/>
  <c r="J60" i="24"/>
  <c r="K60" i="24" s="1"/>
  <c r="K78" i="24"/>
  <c r="H56" i="24"/>
  <c r="J41" i="24"/>
  <c r="K41" i="24" s="1"/>
  <c r="J44" i="24"/>
  <c r="K44" i="24" s="1"/>
  <c r="J48" i="24"/>
  <c r="K48" i="24" s="1"/>
  <c r="K99" i="24"/>
  <c r="J81" i="24"/>
  <c r="K81" i="24" s="1"/>
  <c r="J85" i="24"/>
  <c r="K85" i="24" s="1"/>
  <c r="K106" i="24"/>
  <c r="I63" i="24"/>
  <c r="J63" i="24" s="1"/>
  <c r="K63" i="24" s="1"/>
  <c r="J93" i="24"/>
  <c r="K93" i="24" s="1"/>
  <c r="F56" i="24"/>
  <c r="J11" i="24"/>
  <c r="K11" i="24" s="1"/>
  <c r="G56" i="24"/>
  <c r="J24" i="24"/>
  <c r="K24" i="24" s="1"/>
  <c r="J94" i="24"/>
  <c r="K94" i="24" s="1"/>
  <c r="I96" i="24"/>
  <c r="J96" i="24" s="1"/>
  <c r="K96" i="24" s="1"/>
  <c r="L108" i="24"/>
  <c r="J71" i="24"/>
  <c r="K71" i="24" s="1"/>
  <c r="L56" i="24"/>
  <c r="D108" i="24"/>
  <c r="J74" i="24"/>
  <c r="K74" i="24" s="1"/>
  <c r="J83" i="24"/>
  <c r="K83" i="24" s="1"/>
  <c r="C56" i="24"/>
  <c r="J33" i="24"/>
  <c r="K33" i="24" s="1"/>
  <c r="E108" i="24"/>
  <c r="D56" i="24"/>
  <c r="J22" i="24"/>
  <c r="K22" i="24" s="1"/>
  <c r="J29" i="24"/>
  <c r="K29" i="24" s="1"/>
  <c r="I37" i="24"/>
  <c r="J37" i="24" s="1"/>
  <c r="K37" i="24" s="1"/>
  <c r="F108" i="24"/>
  <c r="F109" i="24" s="1"/>
  <c r="I89" i="24"/>
  <c r="J89" i="24" s="1"/>
  <c r="K89" i="24" s="1"/>
  <c r="J102" i="24"/>
  <c r="K102" i="24" s="1"/>
  <c r="E56" i="24"/>
  <c r="J31" i="24"/>
  <c r="K31" i="24" s="1"/>
  <c r="J46" i="24"/>
  <c r="K46" i="24" s="1"/>
  <c r="G108" i="24"/>
  <c r="J100" i="24"/>
  <c r="K100" i="24" s="1"/>
  <c r="H108" i="24"/>
  <c r="J104" i="24"/>
  <c r="K104" i="24" s="1"/>
  <c r="F23" i="22"/>
  <c r="J11" i="22"/>
  <c r="K11" i="22" s="1"/>
  <c r="M37" i="22"/>
  <c r="J29" i="22"/>
  <c r="G23" i="22"/>
  <c r="G39" i="22" s="1"/>
  <c r="G43" i="22" s="1"/>
  <c r="G45" i="22" s="1"/>
  <c r="G47" i="22" s="1"/>
  <c r="G49" i="22" s="1"/>
  <c r="K9" i="22"/>
  <c r="E37" i="22"/>
  <c r="J31" i="22"/>
  <c r="K31" i="22" s="1"/>
  <c r="P26" i="25"/>
  <c r="P22" i="26"/>
  <c r="H23" i="22"/>
  <c r="Q39" i="23"/>
  <c r="N10" i="25"/>
  <c r="O16" i="25"/>
  <c r="Q49" i="25"/>
  <c r="P49" i="25"/>
  <c r="Q22" i="26"/>
  <c r="R36" i="26"/>
  <c r="I23" i="22"/>
  <c r="J10" i="22"/>
  <c r="J23" i="22" s="1"/>
  <c r="R39" i="23"/>
  <c r="R26" i="25"/>
  <c r="R51" i="25" s="1"/>
  <c r="R22" i="26"/>
  <c r="R38" i="26" s="1"/>
  <c r="R42" i="26" s="1"/>
  <c r="R45" i="26" s="1"/>
  <c r="L23" i="22"/>
  <c r="L39" i="22" s="1"/>
  <c r="L43" i="22" s="1"/>
  <c r="L45" i="22" s="1"/>
  <c r="L47" i="22" s="1"/>
  <c r="L49" i="22" s="1"/>
  <c r="J9" i="22"/>
  <c r="Q21" i="23"/>
  <c r="M23" i="22"/>
  <c r="M62" i="22" s="1"/>
  <c r="I37" i="22"/>
  <c r="K29" i="22"/>
  <c r="J35" i="22"/>
  <c r="R21" i="23"/>
  <c r="P36" i="26"/>
  <c r="D23" i="22"/>
  <c r="K8" i="22"/>
  <c r="J26" i="22"/>
  <c r="K26" i="22" s="1"/>
  <c r="Q36" i="26"/>
  <c r="I83" i="21"/>
  <c r="J83" i="21" s="1"/>
  <c r="K83" i="21" s="1"/>
  <c r="K88" i="21"/>
  <c r="J106" i="21"/>
  <c r="K106" i="21" s="1"/>
  <c r="J84" i="21"/>
  <c r="K84" i="21" s="1"/>
  <c r="D55" i="21"/>
  <c r="F55" i="21"/>
  <c r="G55" i="21"/>
  <c r="K41" i="21"/>
  <c r="I36" i="21"/>
  <c r="J36" i="21" s="1"/>
  <c r="K36" i="21" s="1"/>
  <c r="I58" i="21"/>
  <c r="J58" i="21" s="1"/>
  <c r="K58" i="21" s="1"/>
  <c r="J7" i="21"/>
  <c r="M115" i="21"/>
  <c r="I91" i="21"/>
  <c r="J91" i="21" s="1"/>
  <c r="H55" i="21"/>
  <c r="J94" i="21"/>
  <c r="K94" i="21" s="1"/>
  <c r="L55" i="21"/>
  <c r="M55" i="21"/>
  <c r="J13" i="21"/>
  <c r="K13" i="21" s="1"/>
  <c r="J45" i="21"/>
  <c r="K45" i="21" s="1"/>
  <c r="J53" i="21"/>
  <c r="K53" i="21" s="1"/>
  <c r="E55" i="21"/>
  <c r="I81" i="21"/>
  <c r="J81" i="21" s="1"/>
  <c r="K81" i="21" s="1"/>
  <c r="J47" i="21"/>
  <c r="K47" i="21" s="1"/>
  <c r="J111" i="21"/>
  <c r="K111" i="21" s="1"/>
  <c r="C55" i="21"/>
  <c r="J10" i="21"/>
  <c r="K10" i="21" s="1"/>
  <c r="J21" i="21"/>
  <c r="K21" i="21" s="1"/>
  <c r="J32" i="21"/>
  <c r="K32" i="21" s="1"/>
  <c r="J51" i="21"/>
  <c r="K51" i="21" s="1"/>
  <c r="L115" i="21"/>
  <c r="J109" i="21"/>
  <c r="K109" i="21" s="1"/>
  <c r="J28" i="21"/>
  <c r="K28" i="21" s="1"/>
  <c r="J30" i="21"/>
  <c r="K30" i="21" s="1"/>
  <c r="J113" i="21"/>
  <c r="K113" i="21" s="1"/>
  <c r="K7" i="21"/>
  <c r="J43" i="21"/>
  <c r="K43" i="21" s="1"/>
  <c r="D115" i="21"/>
  <c r="D117" i="21" s="1"/>
  <c r="J59" i="21"/>
  <c r="K59" i="21" s="1"/>
  <c r="J105" i="21"/>
  <c r="K105" i="21" s="1"/>
  <c r="J49" i="21"/>
  <c r="K49" i="21" s="1"/>
  <c r="J23" i="21"/>
  <c r="K23" i="21" s="1"/>
  <c r="F115" i="21"/>
  <c r="J72" i="21"/>
  <c r="K72" i="21" s="1"/>
  <c r="K92" i="21"/>
  <c r="G115" i="21"/>
  <c r="I74" i="21"/>
  <c r="J74" i="21" s="1"/>
  <c r="K74" i="21" s="1"/>
  <c r="J107" i="21"/>
  <c r="K107" i="21" s="1"/>
  <c r="H115" i="21"/>
  <c r="I61" i="21"/>
  <c r="J61" i="21" s="1"/>
  <c r="K61" i="21" s="1"/>
  <c r="J76" i="21"/>
  <c r="K76" i="21" s="1"/>
  <c r="J79" i="21"/>
  <c r="K79" i="21" s="1"/>
  <c r="N25" i="26"/>
  <c r="N6" i="26"/>
  <c r="E51" i="25"/>
  <c r="M51" i="25"/>
  <c r="O20" i="25"/>
  <c r="G51" i="25"/>
  <c r="O10" i="25"/>
  <c r="O43" i="25"/>
  <c r="N29" i="25"/>
  <c r="N49" i="25" s="1"/>
  <c r="N33" i="25"/>
  <c r="N48" i="25"/>
  <c r="N6" i="25"/>
  <c r="N26" i="25" s="1"/>
  <c r="C26" i="25"/>
  <c r="C51" i="25" s="1"/>
  <c r="O33" i="25"/>
  <c r="O24" i="23"/>
  <c r="O39" i="23" s="1"/>
  <c r="N39" i="23"/>
  <c r="N21" i="23"/>
  <c r="N41" i="23" s="1"/>
  <c r="O6" i="23"/>
  <c r="O21" i="23" s="1"/>
  <c r="P21" i="23"/>
  <c r="P39" i="23"/>
  <c r="C76" i="24"/>
  <c r="J8" i="24"/>
  <c r="K8" i="24" s="1"/>
  <c r="I98" i="24"/>
  <c r="J98" i="24" s="1"/>
  <c r="K98" i="24" s="1"/>
  <c r="F39" i="22"/>
  <c r="F43" i="22" s="1"/>
  <c r="F45" i="22" s="1"/>
  <c r="F47" i="22" s="1"/>
  <c r="F49" i="22" s="1"/>
  <c r="F62" i="22"/>
  <c r="C39" i="22"/>
  <c r="C43" i="22" s="1"/>
  <c r="C45" i="22" s="1"/>
  <c r="C47" i="22" s="1"/>
  <c r="C49" i="22" s="1"/>
  <c r="C62" i="22"/>
  <c r="D62" i="22"/>
  <c r="D39" i="22"/>
  <c r="D43" i="22" s="1"/>
  <c r="D45" i="22" s="1"/>
  <c r="D47" i="22" s="1"/>
  <c r="D49" i="22" s="1"/>
  <c r="H39" i="22"/>
  <c r="H43" i="22" s="1"/>
  <c r="H45" i="22" s="1"/>
  <c r="H47" i="22" s="1"/>
  <c r="H49" i="22" s="1"/>
  <c r="H62" i="22"/>
  <c r="K33" i="22"/>
  <c r="I39" i="22"/>
  <c r="I43" i="22" s="1"/>
  <c r="I45" i="22" s="1"/>
  <c r="I47" i="22" s="1"/>
  <c r="I49" i="22" s="1"/>
  <c r="I62" i="22"/>
  <c r="M39" i="22"/>
  <c r="M43" i="22" s="1"/>
  <c r="M45" i="22" s="1"/>
  <c r="M47" i="22" s="1"/>
  <c r="M49" i="22" s="1"/>
  <c r="L62" i="22"/>
  <c r="K35" i="22"/>
  <c r="E23" i="22"/>
  <c r="K7" i="22"/>
  <c r="I87" i="21"/>
  <c r="J87" i="21" s="1"/>
  <c r="K87" i="21" s="1"/>
  <c r="C91" i="21"/>
  <c r="I40" i="21"/>
  <c r="J40" i="21" s="1"/>
  <c r="K40" i="21" s="1"/>
  <c r="E115" i="21"/>
  <c r="J80" i="21"/>
  <c r="K80" i="21" s="1"/>
  <c r="K10" i="22" l="1"/>
  <c r="J37" i="22"/>
  <c r="G62" i="22"/>
  <c r="Q41" i="23"/>
  <c r="P38" i="26"/>
  <c r="P42" i="26" s="1"/>
  <c r="P45" i="26" s="1"/>
  <c r="Q51" i="25"/>
  <c r="K76" i="24"/>
  <c r="L109" i="24"/>
  <c r="H109" i="24"/>
  <c r="E109" i="24"/>
  <c r="G109" i="24"/>
  <c r="I56" i="24"/>
  <c r="J56" i="24" s="1"/>
  <c r="K56" i="24" s="1"/>
  <c r="D109" i="24"/>
  <c r="K37" i="22"/>
  <c r="K39" i="22" s="1"/>
  <c r="K43" i="22" s="1"/>
  <c r="K45" i="22" s="1"/>
  <c r="K47" i="22" s="1"/>
  <c r="K49" i="22" s="1"/>
  <c r="P51" i="25"/>
  <c r="P41" i="23"/>
  <c r="K23" i="22"/>
  <c r="O41" i="23"/>
  <c r="R41" i="23"/>
  <c r="Q38" i="26"/>
  <c r="Q42" i="26" s="1"/>
  <c r="Q45" i="26" s="1"/>
  <c r="E117" i="21"/>
  <c r="H117" i="21"/>
  <c r="F117" i="21"/>
  <c r="G117" i="21"/>
  <c r="L117" i="21"/>
  <c r="M117" i="21"/>
  <c r="K91" i="21"/>
  <c r="O6" i="26"/>
  <c r="O22" i="26" s="1"/>
  <c r="N22" i="26"/>
  <c r="N36" i="26"/>
  <c r="O25" i="26"/>
  <c r="O36" i="26" s="1"/>
  <c r="O29" i="25"/>
  <c r="O49" i="25" s="1"/>
  <c r="O6" i="25"/>
  <c r="O26" i="25" s="1"/>
  <c r="N51" i="25"/>
  <c r="I108" i="24"/>
  <c r="C108" i="24"/>
  <c r="K62" i="22"/>
  <c r="E62" i="22"/>
  <c r="E39" i="22"/>
  <c r="E43" i="22" s="1"/>
  <c r="E45" i="22" s="1"/>
  <c r="E47" i="22" s="1"/>
  <c r="E49" i="22" s="1"/>
  <c r="J39" i="22"/>
  <c r="J43" i="22" s="1"/>
  <c r="J45" i="22" s="1"/>
  <c r="J47" i="22" s="1"/>
  <c r="J49" i="22" s="1"/>
  <c r="J62" i="22"/>
  <c r="I115" i="21"/>
  <c r="J115" i="21" s="1"/>
  <c r="C115" i="21"/>
  <c r="I55" i="21"/>
  <c r="L40" i="4"/>
  <c r="L39" i="4"/>
  <c r="L36" i="4"/>
  <c r="L44" i="4"/>
  <c r="L47" i="4"/>
  <c r="L41" i="4"/>
  <c r="L38" i="4"/>
  <c r="L21" i="4"/>
  <c r="L20" i="4"/>
  <c r="L19" i="4"/>
  <c r="L17" i="4"/>
  <c r="L16" i="4"/>
  <c r="L5" i="5"/>
  <c r="L13" i="4"/>
  <c r="L6" i="4"/>
  <c r="L7" i="4"/>
  <c r="L8" i="4"/>
  <c r="L9" i="4"/>
  <c r="L10" i="4"/>
  <c r="L11" i="4"/>
  <c r="L12" i="4"/>
  <c r="L14" i="4"/>
  <c r="L15" i="4"/>
  <c r="L18" i="4"/>
  <c r="L22" i="4"/>
  <c r="L23" i="4"/>
  <c r="L24" i="4"/>
  <c r="L25" i="4"/>
  <c r="L26" i="4"/>
  <c r="L27" i="4"/>
  <c r="L28" i="4"/>
  <c r="L29" i="4"/>
  <c r="L30" i="4"/>
  <c r="L31" i="4"/>
  <c r="L32" i="4"/>
  <c r="L33" i="4"/>
  <c r="L34" i="4"/>
  <c r="L35" i="4"/>
  <c r="L37" i="4"/>
  <c r="L42" i="4"/>
  <c r="L43" i="4"/>
  <c r="L45" i="4"/>
  <c r="L46" i="4"/>
  <c r="L5" i="4"/>
  <c r="L8" i="3"/>
  <c r="L5" i="3"/>
  <c r="L6" i="3"/>
  <c r="L7" i="3"/>
  <c r="L10" i="3"/>
  <c r="L9" i="3"/>
  <c r="L6" i="10"/>
  <c r="L7" i="10"/>
  <c r="L7" i="8"/>
  <c r="L5" i="8"/>
  <c r="L6" i="8"/>
  <c r="L7" i="5"/>
  <c r="L6" i="5"/>
  <c r="L8" i="5"/>
  <c r="O51" i="25" l="1"/>
  <c r="O38" i="26"/>
  <c r="O42" i="26" s="1"/>
  <c r="N38" i="26"/>
  <c r="N42" i="26" s="1"/>
  <c r="I109" i="24"/>
  <c r="J109" i="24" s="1"/>
  <c r="J108" i="24"/>
  <c r="K108" i="24" s="1"/>
  <c r="C109" i="24"/>
  <c r="I117" i="21"/>
  <c r="J117" i="21" s="1"/>
  <c r="J55" i="21"/>
  <c r="K55" i="21" s="1"/>
  <c r="K115" i="21"/>
  <c r="C117" i="21"/>
  <c r="K109" i="24" l="1"/>
  <c r="K117" i="21"/>
</calcChain>
</file>

<file path=xl/sharedStrings.xml><?xml version="1.0" encoding="utf-8"?>
<sst xmlns="http://schemas.openxmlformats.org/spreadsheetml/2006/main" count="2309" uniqueCount="932">
  <si>
    <t>Vote Nr</t>
  </si>
  <si>
    <t>Region</t>
  </si>
  <si>
    <t>Strategic Objective</t>
  </si>
  <si>
    <t xml:space="preserve">Programme </t>
  </si>
  <si>
    <t>Project Name</t>
  </si>
  <si>
    <t>Start Date</t>
  </si>
  <si>
    <t>Completion date</t>
  </si>
  <si>
    <t>Project Owner</t>
  </si>
  <si>
    <t>Source of funding</t>
  </si>
  <si>
    <t>Evidence required</t>
  </si>
  <si>
    <t>Access to Sustainable Basic Services</t>
  </si>
  <si>
    <t>GLM</t>
  </si>
  <si>
    <t>N/A</t>
  </si>
  <si>
    <t>Sports &amp; Recreation</t>
  </si>
  <si>
    <t>Mamanyoha Sports Complex</t>
  </si>
  <si>
    <t>Thakgalane Sports Complex</t>
  </si>
  <si>
    <t>Rotterdam Sports Complex</t>
  </si>
  <si>
    <t>Director COMM</t>
  </si>
  <si>
    <t>Roads &amp; Stormwater</t>
  </si>
  <si>
    <t>Head Office</t>
  </si>
  <si>
    <t>Property Services</t>
  </si>
  <si>
    <t>Electricity</t>
  </si>
  <si>
    <t>Kgapane Stadium Phase 3</t>
  </si>
  <si>
    <t>MIG</t>
  </si>
  <si>
    <t>Information Technology</t>
  </si>
  <si>
    <t>Head office</t>
  </si>
  <si>
    <t>Rotterdam Library</t>
  </si>
  <si>
    <t>Ward 5 Community Hall (Planning)</t>
  </si>
  <si>
    <t>Community Halls &amp; Facilities</t>
  </si>
  <si>
    <t>All Wards</t>
  </si>
  <si>
    <t>All</t>
  </si>
  <si>
    <t>Waste Management</t>
  </si>
  <si>
    <t>Upgrade of Electricity to NERSA Standards-NERSA Compliance</t>
  </si>
  <si>
    <t xml:space="preserve">Upgrading of streets- Sekgopo Moshate </t>
  </si>
  <si>
    <t xml:space="preserve">Upgrading of streets- Mamphakhate </t>
  </si>
  <si>
    <t>Las Vegas Street  paving</t>
  </si>
  <si>
    <t xml:space="preserve">Upgrading of streets- Dichosing </t>
  </si>
  <si>
    <t>Director Tech</t>
  </si>
  <si>
    <t>Director Comm</t>
  </si>
  <si>
    <t>1st Q Target</t>
  </si>
  <si>
    <t>2nd  Q Target</t>
  </si>
  <si>
    <t>3rd Q Target</t>
  </si>
  <si>
    <t>4th Q Target</t>
  </si>
  <si>
    <t xml:space="preserve">Develop Specifications and submit to SCM </t>
  </si>
  <si>
    <t>Tender Advertisement, SCM processes &amp; Appointment of service provider</t>
  </si>
  <si>
    <t>Payment Certificate and delivery note</t>
  </si>
  <si>
    <t>BASIC SERVICE DELIVERY</t>
  </si>
  <si>
    <t>Project commences</t>
  </si>
  <si>
    <t>Improved Governance and Organisational Excellence</t>
  </si>
  <si>
    <t>Director Corps</t>
  </si>
  <si>
    <t>CFO</t>
  </si>
  <si>
    <t>MUNICIPAL TRANSFORMATION</t>
  </si>
  <si>
    <t>LOCAL ECONOMIC DEVELOPMENT</t>
  </si>
  <si>
    <t>GOOD GOVERNANCE AND PUBLIC PARTICIPATION</t>
  </si>
  <si>
    <t>KPA 1 MUNICIPAL TRANSFORMATION AND ORGANISATIONAL DEVELOPMENT</t>
  </si>
  <si>
    <t>KEY PERFORMANCE INDICATORS</t>
  </si>
  <si>
    <t xml:space="preserve">OUTCOME NINE (OUTPUT 1: IMPLEMENT A DIFFERENTIATED APPROACH TO  MUNICIPAL FINANCING, PLANNING AND SUPPORT, OUTPUT 4: ACTIONS SUPPORTIVE OF THE HUMAN SETTLEMENT OUTCOMES) </t>
  </si>
  <si>
    <t>Measurable Objectives</t>
  </si>
  <si>
    <t>KPI Unit of measure</t>
  </si>
  <si>
    <t>Baseline / Status</t>
  </si>
  <si>
    <t>Responsible Person</t>
  </si>
  <si>
    <t>Evidence requires</t>
  </si>
  <si>
    <t>Improved  Governance and Organisational Excellence</t>
  </si>
  <si>
    <t>Human Resource Management</t>
  </si>
  <si>
    <t>Date</t>
  </si>
  <si>
    <t xml:space="preserve">Operational </t>
  </si>
  <si>
    <t>Director Corp</t>
  </si>
  <si>
    <t>Council Approved Organizational structure, Council Resolution</t>
  </si>
  <si>
    <t>Reducing the vacancy rate within the financial year</t>
  </si>
  <si>
    <t>Number</t>
  </si>
  <si>
    <t xml:space="preserve">Appointment letters </t>
  </si>
  <si>
    <t>Integrated Sustainable Development</t>
  </si>
  <si>
    <t>IDP</t>
  </si>
  <si>
    <t>Council Approved IDP/ Budget/ PMS Process plan, Council Resolution</t>
  </si>
  <si>
    <t>Operational</t>
  </si>
  <si>
    <t>PMS</t>
  </si>
  <si>
    <t>Municipal Manager</t>
  </si>
  <si>
    <t>Signed SDBIP by the Mayor</t>
  </si>
  <si>
    <t>To ensure quarterly reporting and compliance within the financial year</t>
  </si>
  <si>
    <t>Council approved Quarterly reports</t>
  </si>
  <si>
    <t>To ensure that S54 &amp; 56 Managers sign the performance agreements within 30 days after adoption of the final SDBIP.</t>
  </si>
  <si>
    <t>Signed Performance Agreements for Sec 54 &amp; 56 Managers</t>
  </si>
  <si>
    <t xml:space="preserve">To ensure quartely assessments for S54 &amp; 56 Managers is conducted within 30 days after the end of the quarter. </t>
  </si>
  <si>
    <t>Performance Assessments report</t>
  </si>
  <si>
    <t>To ensure municipal reporting and compliance within the financial year</t>
  </si>
  <si>
    <t>Dated proof of submission to CoGHSTA, Provincial and National Treasury</t>
  </si>
  <si>
    <t>To ensure municipal reporting and compliance</t>
  </si>
  <si>
    <t>Council approved Annual report, Council resolution</t>
  </si>
  <si>
    <t>Council approved Oversight report on the Annual report, Council resolution</t>
  </si>
  <si>
    <t>Council approved Annual report , Council  resolution</t>
  </si>
  <si>
    <t>Legal Services</t>
  </si>
  <si>
    <t>To improve effecience and effictiveness of municipal administration within the financial year</t>
  </si>
  <si>
    <t>Percentage</t>
  </si>
  <si>
    <t xml:space="preserve">Dated signed Service Level Agreements </t>
  </si>
  <si>
    <t>Internal Audit</t>
  </si>
  <si>
    <t>To conduct quarterly assessment on municipal performance within the financial year</t>
  </si>
  <si>
    <t xml:space="preserve">Number </t>
  </si>
  <si>
    <t>Performance Audit report tabled,Council resolution, report signed off by the MM</t>
  </si>
  <si>
    <t>Functionality of Audit  within the financial year</t>
  </si>
  <si>
    <t>Council approved audit action plan, Council resolution</t>
  </si>
  <si>
    <t>Approved Internal Audit Plan</t>
  </si>
  <si>
    <t>100% internal audit issues resolved (# of  Internal Audit issues resolved / # of issues raised)</t>
  </si>
  <si>
    <t>Resolved IA register/plan, POE submitted</t>
  </si>
  <si>
    <t>Resolved AG issues and POE 's submitted</t>
  </si>
  <si>
    <t>Risk management</t>
  </si>
  <si>
    <t>Resolved Risk issues and POE submitted</t>
  </si>
  <si>
    <t xml:space="preserve">KPA 2 : BASIC SERVICE DELIVERY INDICATORS
OUTPUT 2: IMPROVING ACCESS TO BASIC SERVICES, OUTPUT 3: IMPLEMENTATION OF THE COMMUNITY WORKS PROGRAMME </t>
  </si>
  <si>
    <t>Integrated and Sustainable Human Settlement</t>
  </si>
  <si>
    <t>Spatial Planning</t>
  </si>
  <si>
    <t>To ensure that land use applications are processed within 90 days of receipt.</t>
  </si>
  <si>
    <t>Dated register recording land use applications &amp; Land use applications</t>
  </si>
  <si>
    <t>Waste management</t>
  </si>
  <si>
    <t>Provision of waste removal within the financial year</t>
  </si>
  <si>
    <t>4654 HH accessed refuse removal once a week</t>
  </si>
  <si>
    <t>Rooster/ waste management reports</t>
  </si>
  <si>
    <t>To ensure provision of electricity services</t>
  </si>
  <si>
    <t xml:space="preserve">56905 HH accessed electricity </t>
  </si>
  <si>
    <t>Electricity/ Finance reports</t>
  </si>
  <si>
    <t>Legal</t>
  </si>
  <si>
    <t>To monitor the reviewal of by laws and policies within a financial year</t>
  </si>
  <si>
    <t>New</t>
  </si>
  <si>
    <t>By laws promulgated</t>
  </si>
  <si>
    <t>To ensure reduction of electricity losse s within a financial year</t>
  </si>
  <si>
    <t>Infrastructure</t>
  </si>
  <si>
    <t xml:space="preserve">Operattional </t>
  </si>
  <si>
    <t>KPA 3 : LOCAL ECONOMIC DEVELOPMENT</t>
  </si>
  <si>
    <t xml:space="preserve">OUTCOME 9: IMPLEMENTATION OF THE COMMUNITY WORK PROGRAMME </t>
  </si>
  <si>
    <t>Improved local economy</t>
  </si>
  <si>
    <t>To ensure Promotion of local economy within the financial year</t>
  </si>
  <si>
    <t>Proof for SMME s supported</t>
  </si>
  <si>
    <t>215 SMME s supported</t>
  </si>
  <si>
    <t xml:space="preserve">12 EPWP reports generated </t>
  </si>
  <si>
    <t>EPWP reports</t>
  </si>
  <si>
    <t>To ensure Coordination of Agriculture forums within the financial year</t>
  </si>
  <si>
    <t>4 Agriculture forums coordinated</t>
  </si>
  <si>
    <t>Agenda, Minutes &amp; Attendance register</t>
  </si>
  <si>
    <t xml:space="preserve">KPA 4 MUNICIPAL FINANCIAL VIABILITY
KEY PERFORMANCE INDICATORS
OUTPUT 6: ADMINISTRATIVE AND FINANCIAL CAPABILITY </t>
  </si>
  <si>
    <t>Sustainable Financial Institution</t>
  </si>
  <si>
    <t>Revenue</t>
  </si>
  <si>
    <t>To ensure improvement in revenue collection within the financial year</t>
  </si>
  <si>
    <t>Financial reports</t>
  </si>
  <si>
    <t>To monitor debt collections within a financial year</t>
  </si>
  <si>
    <t>To monitor the implementation of municipal services within a financia year</t>
  </si>
  <si>
    <t>Expenditure Management</t>
  </si>
  <si>
    <t>Provision of free basic services within the financial year</t>
  </si>
  <si>
    <t>Updated Indigent register</t>
  </si>
  <si>
    <t>Budget and Reporting</t>
  </si>
  <si>
    <t>To ensure that quartely financial statements are prepared within 14 days after the end of each quarter.</t>
  </si>
  <si>
    <t># of quarterly financial statements submitted to Provincial Treasury</t>
  </si>
  <si>
    <t>Dated proof of submission Financial Statements</t>
  </si>
  <si>
    <t>To ensure compliance with legislation within the financial year</t>
  </si>
  <si>
    <t>Council approved Draft Budget,  Council Resolution</t>
  </si>
  <si>
    <t>21 policies approved</t>
  </si>
  <si>
    <t>Council Approved Budget related policies,  Council Resolution</t>
  </si>
  <si>
    <t>Council approved adjustment budget,  Council Resolution</t>
  </si>
  <si>
    <t>Dated proof of submission of Unaudited AFS</t>
  </si>
  <si>
    <t>Dated proof of Sec 32 register</t>
  </si>
  <si>
    <t>Not approved</t>
  </si>
  <si>
    <t>n/a</t>
  </si>
  <si>
    <t>Council approved finance by-laws,  Council Resolution</t>
  </si>
  <si>
    <t xml:space="preserve">12      Finance compliance report submitted </t>
  </si>
  <si>
    <t>Oerational</t>
  </si>
  <si>
    <t>Sec 71 reports submitted to Provincial Treasury within 10 working days</t>
  </si>
  <si>
    <t>Dated proof of submission</t>
  </si>
  <si>
    <t>Supply Chain Management</t>
  </si>
  <si>
    <t>To Improve financial viability within the financial year</t>
  </si>
  <si>
    <t>Appointment Letters</t>
  </si>
  <si>
    <t>To ensure payment of service providers within 30 days of the submission of invoices.</t>
  </si>
  <si>
    <t>Payment of invoices within 30 days of receipt from the service provider</t>
  </si>
  <si>
    <t>Dated proof of payment</t>
  </si>
  <si>
    <t>Assets Management</t>
  </si>
  <si>
    <t>Quarterly Assets verification reports</t>
  </si>
  <si>
    <t>To effectively manage the financial affairs of the municipality within the financial year</t>
  </si>
  <si>
    <t>Capital</t>
  </si>
  <si>
    <t>KPA 5 : GOOD GOVERNANCE AND PUBLIC PARTICIPATION 
KEY PERFORMANCE INDICATORS
OUTCOME 9 (OUTPUT 5: DEEPEN DEMOCRACY THROUGH A REFINED WARD  COMMITTEE MODEL, OUTPUT 6: ADMINISTRATIVE AND FINANCIAL CAPABILITY)</t>
  </si>
  <si>
    <t>Programmes</t>
  </si>
  <si>
    <t>Baseline</t>
  </si>
  <si>
    <t>Council</t>
  </si>
  <si>
    <t>To ensure functionality of Council committee within the financial year.</t>
  </si>
  <si>
    <t>12 Council meetings held</t>
  </si>
  <si>
    <t>Agenda, Minutes &amp; attandance register</t>
  </si>
  <si>
    <t>To ensure functionality of EXCO committee within the financial year.</t>
  </si>
  <si>
    <t>12 EXCO meetings held</t>
  </si>
  <si>
    <t>Committees</t>
  </si>
  <si>
    <t xml:space="preserve">348 Ward Committee reports submitted </t>
  </si>
  <si>
    <t>Manager (Mayors Office)</t>
  </si>
  <si>
    <t>To ensure functionality of Council within the financial year</t>
  </si>
  <si>
    <t>14 MPAC meetings held</t>
  </si>
  <si>
    <t>Human Resource management</t>
  </si>
  <si>
    <t>13 LLF meetings held</t>
  </si>
  <si>
    <t>Labour Relations</t>
  </si>
  <si>
    <t>To ensure functionality of Municipality within the financial year</t>
  </si>
  <si>
    <t>Updated Resolutions register</t>
  </si>
  <si>
    <t>Public Participation</t>
  </si>
  <si>
    <t>To ensure public involvement in the IDP review</t>
  </si>
  <si>
    <t>5 IDP/Budget/PMS REP Forum meetings held</t>
  </si>
  <si>
    <t>Agenda &amp; Attandance register</t>
  </si>
  <si>
    <t>To ensure public involvement in the IDP review within a financial year</t>
  </si>
  <si>
    <t>5 IDP/Budget/PMS Steering Committee meetings held</t>
  </si>
  <si>
    <t>To promote accountability within the municipality</t>
  </si>
  <si>
    <t>Updated Complaints Management Register</t>
  </si>
  <si>
    <t>To ensure public involvement in Mayoral  Imbizo 's within a financial year</t>
  </si>
  <si>
    <t>4 Mayoral Imbizo held</t>
  </si>
  <si>
    <t>To ensure functionality of Audit committee within a financial year</t>
  </si>
  <si>
    <t>Number (Accumulative)</t>
  </si>
  <si>
    <t>6 Audit Committee meetings held</t>
  </si>
  <si>
    <t>Agenda, Minutes &amp; Attandance register</t>
  </si>
  <si>
    <t>Audit Committee resolutions register</t>
  </si>
  <si>
    <t>Risk</t>
  </si>
  <si>
    <t>To ensure functionality of Risk committee within the financial year.</t>
  </si>
  <si>
    <t>Fraud &amp; Anti Corruption Strategy not reviewed</t>
  </si>
  <si>
    <t>Approved Fraud and Anti Corruption strategy</t>
  </si>
  <si>
    <t>To monitor response in terms of the fraud and corruption cases registered</t>
  </si>
  <si>
    <t xml:space="preserve"># of Fraud and Corruption cases investigated : # of cases registered / # of cases investigated yearly </t>
  </si>
  <si>
    <t xml:space="preserve"># of Fraud and Corruption cases investigated : # of cases registered / # of cases investigated quarterly </t>
  </si>
  <si>
    <t>Updated Fraud and Corruption case register</t>
  </si>
  <si>
    <t>Table of Contents</t>
  </si>
  <si>
    <t>Strategic Vision, Mission and Strategy Map</t>
  </si>
  <si>
    <t>Votes and Operational Objectives</t>
  </si>
  <si>
    <t>Municipal Transformation and Organisational Development KPI's</t>
  </si>
  <si>
    <t>Municipal Transformation and Organisational Development Projects</t>
  </si>
  <si>
    <t xml:space="preserve">Basic Service Delivery  KPI s </t>
  </si>
  <si>
    <t>Basic Service Delivery Projects</t>
  </si>
  <si>
    <t>Local Economic Development Projects</t>
  </si>
  <si>
    <t>Municipal Financial Viability KPI's</t>
  </si>
  <si>
    <t>Municipal Financial Viability Projects</t>
  </si>
  <si>
    <t>Good Governance and Public Participation KPI's</t>
  </si>
  <si>
    <t>Good Governance and Public Participation Projects</t>
  </si>
  <si>
    <t>Approval</t>
  </si>
  <si>
    <t>Approval by the Mayor</t>
  </si>
  <si>
    <t>The approval of the SDBIP is the competency of the Municipal Manager and Mayor. The SDBIP is a management and monitoring tool for the implementation of the IDP and Budget that must be tabled to council for noting. Any adjustment that can be made on the SDBIP must be taken to Council for Noting.</t>
  </si>
  <si>
    <t>Monitoring the implementation of the SDBIP</t>
  </si>
  <si>
    <t>Progress against the objective set out in the SDBIP will monitored and reported on a monthly, quarterly and annual basis as per the approved PMS Policy and Framework</t>
  </si>
  <si>
    <t>Signatures</t>
  </si>
  <si>
    <t>1 data cleansing</t>
  </si>
  <si>
    <t>Itieleng-Sekgosese street paving</t>
  </si>
  <si>
    <t>Modjadji Ivory Route Phase 1</t>
  </si>
  <si>
    <t>Introduction</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</si>
  <si>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</si>
  <si>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</si>
  <si>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</si>
  <si>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Legislation</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</si>
  <si>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</si>
  <si>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</si>
  <si>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Section 28 of the Municipal Finance Management Act deals with adjustments budgets. In terms of the Act, an adjustments budget is intended to do the following: Sub-Section 2 a) Must adjust the revenue and expenditure estimates downwards if there is material under-collection of revenue during the current year b) May appropriate additional revenues that have become available over and above those anticipated in the annual budget, but only to revise or accelerate spending programmes already budgeted for c) May, within a prescribed framework, authorise unforeseeable and unavoidable expenditure recommended by the mayor of the municipality d) May authorise the utilisation of projected savings in one vote towards spending under another vote e) May authorise the spending of funds that were unspent at the end of the past financial year where the under-spending could not reasonably have been foreseen at the time to include projected roll-overs when the annual budget for the current year was approved by the council f) May correct any errors in the annual budget; and g) May provide for any other expenditure within a prescribed framework.</t>
  </si>
  <si>
    <t>Methodology and Content</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</si>
  <si>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</si>
  <si>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</si>
  <si>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Vision and Mission</t>
  </si>
  <si>
    <t>Strategy map</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</si>
  <si>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</si>
  <si>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Votes and Operational objectives</t>
  </si>
  <si>
    <t>Votes</t>
  </si>
  <si>
    <t>Objectives and Targets</t>
  </si>
  <si>
    <t>Municipal Manager Office (Vote 0040)</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</si>
  <si>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</si>
  <si>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Finance (Vote 0050)</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</si>
  <si>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</si>
  <si>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Community Services (Vote 0028)</t>
  </si>
  <si>
    <t>To co-ordinate Environmental Health Services, Sports Arts and Culture, Education, Libraries, Safety and Security, Environmental and Waste management, Health and Social development programmes as well as Disaster management to decrease community affected by disasters</t>
  </si>
  <si>
    <t>Infrastructure Development and Economic Planning  (Votes 0029 and 0022)</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</si>
  <si>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</si>
  <si>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</si>
  <si>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Corporate Services (Vote 0046 )</t>
  </si>
  <si>
    <t>To ensure efficient and effective operation of council services, human resources and management, legal services and the provision of high quality customer orientated administrative systems. Ensuring 100% compliance to the Skills Development Plan.</t>
  </si>
  <si>
    <t>Household connection in 7 villages</t>
  </si>
  <si>
    <t xml:space="preserve">Develop Specification and Submit to SCM </t>
  </si>
  <si>
    <t>Appointment of service provider</t>
  </si>
  <si>
    <t>Tender Advertisement, SCM processes Finalised</t>
  </si>
  <si>
    <t>Develop Specifications and submit to SCM</t>
  </si>
  <si>
    <t>Upgrading of streets -Ga-Ntata</t>
  </si>
  <si>
    <t>Annual Target (30/06/2019)</t>
  </si>
  <si>
    <t>Refurbishment of LV Network</t>
  </si>
  <si>
    <t xml:space="preserve">Highmast in Maphalle, Shawela, Ramaroka, Block 18 and Polaseng </t>
  </si>
  <si>
    <t xml:space="preserve">Low level Bridges </t>
  </si>
  <si>
    <t xml:space="preserve">Roads &amp; Stormwater </t>
  </si>
  <si>
    <t>Rasewana and Lenokwe (Designs)</t>
  </si>
  <si>
    <t>Lemondokop street paving paving</t>
  </si>
  <si>
    <t>Makhutukwe Street Paving (designs)</t>
  </si>
  <si>
    <t xml:space="preserve">Motshakga street paving </t>
  </si>
  <si>
    <t>Manningburg street paving (Designs &amp; Construction)</t>
  </si>
  <si>
    <t>Director TECH</t>
  </si>
  <si>
    <t>Approval of final 2019/20 SDBIP by the Mayor within 28 days after adoption of the Budget and IDP by 30 June 2019</t>
  </si>
  <si>
    <t>Director PLAN</t>
  </si>
  <si>
    <t>Community Facilities</t>
  </si>
  <si>
    <t>Traffic &amp; Licensing</t>
  </si>
  <si>
    <t>Mokwasele cemetery  paving</t>
  </si>
  <si>
    <t xml:space="preserve">MIG </t>
  </si>
  <si>
    <t>Review of LED strategy</t>
  </si>
  <si>
    <t>Review of Spatial Development Framework</t>
  </si>
  <si>
    <t>100% FMG expenditure</t>
  </si>
  <si>
    <t>Payment Certificate, Progress report</t>
  </si>
  <si>
    <t>Improved and Inclusive Local Economy</t>
  </si>
  <si>
    <t>Integrated Sustainable Human Settlement</t>
  </si>
  <si>
    <t>Local Economic Development</t>
  </si>
  <si>
    <t>Spatial Development Framework</t>
  </si>
  <si>
    <t>Review LED Strategy by 30 June 2019</t>
  </si>
  <si>
    <t>Council approved LED strategy, Payment certificate</t>
  </si>
  <si>
    <t xml:space="preserve">Council approved Spatial Development Framework, Payment Certificate </t>
  </si>
  <si>
    <t>Project Commences</t>
  </si>
  <si>
    <t xml:space="preserve">Draft LED Strategy submitted to the Municipality </t>
  </si>
  <si>
    <t>64% Risk issues resolved</t>
  </si>
  <si>
    <t>71% applications processed</t>
  </si>
  <si>
    <t>Develop Specification&amp; submit submit to SCM</t>
  </si>
  <si>
    <t>Tender advertised and SCM processes finalised</t>
  </si>
  <si>
    <t xml:space="preserve">Service provider Appointed </t>
  </si>
  <si>
    <t>Develop Specifications &amp; submit submit to SCM</t>
  </si>
  <si>
    <t>1127 jobs created</t>
  </si>
  <si>
    <t>Review of Spatial Development Framework  by 30 June 2019</t>
  </si>
  <si>
    <t>Orginal Budget</t>
  </si>
  <si>
    <t>Original Budget</t>
  </si>
  <si>
    <t>Madumeleng/shotong Sports Complex</t>
  </si>
  <si>
    <t xml:space="preserve">Original Budget </t>
  </si>
  <si>
    <t>The strategic vision of the organisation sets the long term goal the Municipality wants to achieve. The vision of Greater Letaba Municipality is:
“To be the leading municipality in the delivery of quality services for the promotion for socio economic development"
The strategic mission speaks about what the purpose of Greater Letaba Municipality is:
 " To ensure an effective, efficient and economically viable municipality through:  • Provision of accountable, transparent and consultative government • Promotion of local economic development and poverty alleviation • Strengthening cooperative governance • Provision of sustainable and affordable services • Ensuring a safe and healthy environment "</t>
  </si>
  <si>
    <t>Projects</t>
  </si>
  <si>
    <t>Council approve the Organisational structure</t>
  </si>
  <si>
    <t>Council approve  IDP/Budget/ PMS Process Plan</t>
  </si>
  <si>
    <t>Mayor Approve SDBIP within 28 days after adoption of the Budget and IDP</t>
  </si>
  <si>
    <t># of Quarterly performance reports compiled</t>
  </si>
  <si>
    <t># of performance assessments conducted for Sec 54A &amp; 56 Managers</t>
  </si>
  <si>
    <t xml:space="preserve">Signed Performance Agreements by all  S54A &amp; 56 Managers </t>
  </si>
  <si>
    <t>Percentage (Revenue billed for the year)</t>
  </si>
  <si>
    <t>Percentage (Debtors)</t>
  </si>
  <si>
    <t>Submit monthly Sec 71 reports to Provincial treasury within 10 working days</t>
  </si>
  <si>
    <t># of Finance compliance report submitted to Treasuries &amp; CoGHSTA</t>
  </si>
  <si>
    <t>Appoint Supply Chain  Committees</t>
  </si>
  <si>
    <t xml:space="preserve"># Assets verifications conducted in line with GRAP standards </t>
  </si>
  <si>
    <t>Percentage ( Budget spent/Budgted)</t>
  </si>
  <si>
    <t>%  capital budget spent as approved by Council within the financial year</t>
  </si>
  <si>
    <t>%  Operational and maintanance budget spent as approved by Council within the financial year</t>
  </si>
  <si>
    <t># of Council Meetings held within the financial year</t>
  </si>
  <si>
    <t># of EXCO meetings held within the financial year</t>
  </si>
  <si>
    <t># of MPAC meetings held within the financial year</t>
  </si>
  <si>
    <t># of LLF meetings held within the financial year</t>
  </si>
  <si>
    <t>Percentage (# of resolutions taken/ # of resolutions implemented).</t>
  </si>
  <si>
    <t># of IDP/Budget/ PMS REP Forum meetings held within the financial year</t>
  </si>
  <si>
    <t># of IDP/Budget/ PMS Steering Committee meetings within the financial year</t>
  </si>
  <si>
    <t>% of complaints resolved</t>
  </si>
  <si>
    <t># of quarterly Community feedback meetings held within a financial</t>
  </si>
  <si>
    <t># of Audit Committee meetings held within the financial year</t>
  </si>
  <si>
    <t xml:space="preserve"># of Fraud and Corruption cases investigated </t>
  </si>
  <si>
    <t>Number( # of cases registered / # of cases investigated within a financial year</t>
  </si>
  <si>
    <t>Region/Ward</t>
  </si>
  <si>
    <t>Projects description</t>
  </si>
  <si>
    <t>Performance Indicator title</t>
  </si>
  <si>
    <t>% of land use applications processed</t>
  </si>
  <si>
    <t>Percentage,  (# of applications received / # of land use applications processed) within 90 days of receipt)</t>
  </si>
  <si>
    <t xml:space="preserve"># of HH with access to refuse removal </t>
  </si>
  <si>
    <t xml:space="preserve"># of HH with access to electricity </t>
  </si>
  <si>
    <t># of By laws reviewed within the financial year</t>
  </si>
  <si>
    <t># of by laws promulgated within the financial year</t>
  </si>
  <si>
    <t xml:space="preserve">% of electricity losses reduced </t>
  </si>
  <si>
    <t># of EPWP reports compiled and submitted to Council</t>
  </si>
  <si>
    <t># of Agriculture Forums coordinated</t>
  </si>
  <si>
    <t># of jobs created through municipal funded Capital Projects</t>
  </si>
  <si>
    <t># of SMME supported through Sypply Chain Management</t>
  </si>
  <si>
    <t>% of  revenue collected within the financial yer</t>
  </si>
  <si>
    <t xml:space="preserve">% in debts collected within the financial year         </t>
  </si>
  <si>
    <t># of data cleansing performed (Meter services) within the financial year</t>
  </si>
  <si>
    <t># of HH receiving free basic services within the financial year</t>
  </si>
  <si>
    <t xml:space="preserve">Council approved  Budget within the financial year </t>
  </si>
  <si>
    <t xml:space="preserve">Council approved Budget policies </t>
  </si>
  <si>
    <t>Council  approved Adjustment budget by 28 February each year</t>
  </si>
  <si>
    <t>Submit Unaudited annual financial statements by 31 August each year</t>
  </si>
  <si>
    <t>Council approved Finance  by-laws within the financial year</t>
  </si>
  <si>
    <t>% invoices paid wiithin 30 days of receipt from the service providers</t>
  </si>
  <si>
    <t>% of PMU Management budget spent as approved by Council  within the financial year</t>
  </si>
  <si>
    <t>% MIG budget spent as approved  by Council within the financial year</t>
  </si>
  <si>
    <t>% INEP Buget spent as approved by Council  within finacial year</t>
  </si>
  <si>
    <t>% FMG budget spent as approved by Council within the financial year</t>
  </si>
  <si>
    <t>% EPWP budget spent as approved by Council  within the financial year</t>
  </si>
  <si>
    <t>% FBS budget spent as approved by Council within the financial year</t>
  </si>
  <si>
    <t># of Ward Committee reports submitted to Office of the Speaker</t>
  </si>
  <si>
    <t>% in implementation of LLF resolutions within the financial year</t>
  </si>
  <si>
    <t>% of Audit and Performance Audit Committees resolutions implemented within the financial year</t>
  </si>
  <si>
    <t xml:space="preserve">Council approved Fraud and Anti Coruption strategy </t>
  </si>
  <si>
    <t xml:space="preserve"> % of Risk issues resolved</t>
  </si>
  <si>
    <t>% of AG issues resolved</t>
  </si>
  <si>
    <t xml:space="preserve"> % of internal audit issues resolved </t>
  </si>
  <si>
    <t>Percentage,  (# of SLA s developed/ # of Appointments made)</t>
  </si>
  <si>
    <t># of vacant positions  filled</t>
  </si>
  <si>
    <t>% Signed Service Level Agreements within 30 days after the appointment of Service Providers</t>
  </si>
  <si>
    <t># of performance audit reports compiled and issued to the Accounting Officer</t>
  </si>
  <si>
    <t>Develop Internal Audit plan for current financial year</t>
  </si>
  <si>
    <t>Develop Audit action plan for current financial year</t>
  </si>
  <si>
    <t>100% of SLA developed</t>
  </si>
  <si>
    <t>Municipal Programme</t>
  </si>
  <si>
    <t>Revenue by Vote</t>
  </si>
  <si>
    <t>Total Revenue by Vote</t>
  </si>
  <si>
    <t>Expenditure by Vote</t>
  </si>
  <si>
    <t>Total Expenditure by Vote</t>
  </si>
  <si>
    <t>3. Assign share in 'associate' to relevant Vote</t>
  </si>
  <si>
    <t>Revenue By Source</t>
  </si>
  <si>
    <t>Property rates</t>
  </si>
  <si>
    <t>Service charges - electricity revenue</t>
  </si>
  <si>
    <t>Service charges - water revenue</t>
  </si>
  <si>
    <t>Service charges - sanitation revenue</t>
  </si>
  <si>
    <t>Service charges - refuse revenue</t>
  </si>
  <si>
    <t>Rental of facilities and equipment</t>
  </si>
  <si>
    <t>Interest earned - external investments</t>
  </si>
  <si>
    <t>Interest earned - outstanding debtors</t>
  </si>
  <si>
    <t>Dividends received</t>
  </si>
  <si>
    <t>Fines, penalties and forfeits</t>
  </si>
  <si>
    <t>Licences and permits</t>
  </si>
  <si>
    <t>Agency services</t>
  </si>
  <si>
    <t>Transfers and subsidies</t>
  </si>
  <si>
    <t>Other revenue</t>
  </si>
  <si>
    <t>Gains on disposal of PPE</t>
  </si>
  <si>
    <t>Total Revenue (excluding capital transfers and contributions)</t>
  </si>
  <si>
    <t>Expenditure By Type</t>
  </si>
  <si>
    <t>Employee related costs</t>
  </si>
  <si>
    <t>Remuneration of councillors</t>
  </si>
  <si>
    <t>Debt impairment</t>
  </si>
  <si>
    <t>Depreciation &amp; asset impairment</t>
  </si>
  <si>
    <t>Finance charges</t>
  </si>
  <si>
    <t>Bulk purchases</t>
  </si>
  <si>
    <t>Other materials</t>
  </si>
  <si>
    <t>Contracted services</t>
  </si>
  <si>
    <t>Other expenditure</t>
  </si>
  <si>
    <t>Loss on disposal of PPE</t>
  </si>
  <si>
    <t>Total Expenditure</t>
  </si>
  <si>
    <t>Surplus/(Deficit)</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</si>
  <si>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</si>
  <si>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</si>
  <si>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</si>
  <si>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Taxation</t>
  </si>
  <si>
    <t>Surplus/(Deficit) after taxation</t>
  </si>
  <si>
    <t>Attributable to minorities</t>
  </si>
  <si>
    <t>Surplus/(Deficit) attributable to municipality</t>
  </si>
  <si>
    <t>Share of surplus/ (deficit) of associate</t>
  </si>
  <si>
    <t>1. Classifications are revenue sources and expenditure type</t>
  </si>
  <si>
    <t>Capital multi-year expenditure sub-total</t>
  </si>
  <si>
    <t>Capital single-year expenditure sub-total</t>
  </si>
  <si>
    <t>Total Capital Expenditure</t>
  </si>
  <si>
    <t>Medium Term Revenue and Expenditure Framework</t>
  </si>
  <si>
    <t>July</t>
  </si>
  <si>
    <t>August</t>
  </si>
  <si>
    <t>Sept.</t>
  </si>
  <si>
    <t>October</t>
  </si>
  <si>
    <t>November</t>
  </si>
  <si>
    <t>December</t>
  </si>
  <si>
    <t>January</t>
  </si>
  <si>
    <t>February</t>
  </si>
  <si>
    <t>March</t>
  </si>
  <si>
    <t>April</t>
  </si>
  <si>
    <t>May</t>
  </si>
  <si>
    <t>June</t>
  </si>
  <si>
    <t>Surplus/(Deficit) after capital transfers &amp; contributions</t>
  </si>
  <si>
    <t>check</t>
  </si>
  <si>
    <t>Budget Year 2020/21</t>
  </si>
  <si>
    <t>Ramodumo street paving</t>
  </si>
  <si>
    <t>Local Economic Development KPI's</t>
  </si>
  <si>
    <t>Monthly Projections of revenue to be collected for each source</t>
  </si>
  <si>
    <t>Monthly Projections of expenditure (operating and capital) and revenue for each voteto be collected for each source</t>
  </si>
  <si>
    <t>Annextures</t>
  </si>
  <si>
    <t>Mid Term Expenditure Framework</t>
  </si>
  <si>
    <t>Jokong street paving</t>
  </si>
  <si>
    <t>Shamfana Community Hall (Planning)</t>
  </si>
  <si>
    <t>Lemondokop Community Hall (Planning)</t>
  </si>
  <si>
    <t>Tlhothlokwe Community Hall (Planning)</t>
  </si>
  <si>
    <t>Khethothone street paving</t>
  </si>
  <si>
    <t>Region/Location/Ward</t>
  </si>
  <si>
    <t>Council approve IDP witin financial year</t>
  </si>
  <si>
    <t>Council approved Draft &amp; Final IDP resolution, Council Resolution</t>
  </si>
  <si>
    <t>Submit Annual Institutional Performance report to CoGHSTA, Provincial Treasury and National Treasury by 30 August each year</t>
  </si>
  <si>
    <t>Submit Mid-Year report to CoGHSTA, Provincial and National  Treasury  by 25 January each year</t>
  </si>
  <si>
    <t>Table Annual Report in Council by 31 January each year</t>
  </si>
  <si>
    <t>Table Oversight report on the Annual Report in Council by 31 March each year</t>
  </si>
  <si>
    <t>The Mayor approve SDBIP within 28 days within financial year</t>
  </si>
  <si>
    <t xml:space="preserve">Percentage,  (#  of  Auditor General issues resolved / # of issues raised) </t>
  </si>
  <si>
    <t xml:space="preserve">Percentage, (# of  Internal Audit issues resolved / # of issues raised) </t>
  </si>
  <si>
    <t xml:space="preserve">Percentage,  (#  Risk issues implemented / resolved / # of risks identified) </t>
  </si>
  <si>
    <t xml:space="preserve">64% Internal issues resolved </t>
  </si>
  <si>
    <t xml:space="preserve">47% AG issues resolved </t>
  </si>
  <si>
    <t>28 policies and 5 By-Laws</t>
  </si>
  <si>
    <t>Council approved policies and By-laws (Council Resolution)</t>
  </si>
  <si>
    <t>5 By-Laws</t>
  </si>
  <si>
    <t xml:space="preserve">21 % of electricity losses reduced : # of electricity lossed / % of electricity supplied </t>
  </si>
  <si>
    <t>21% of electricity losses reduced : # of electricity lossed / % of electricity supplied</t>
  </si>
  <si>
    <t>TECH</t>
  </si>
  <si>
    <t>To monitor the development and MIG implementation  plan within a financial year</t>
  </si>
  <si>
    <t xml:space="preserve">Development of MIG implementation Plan </t>
  </si>
  <si>
    <t xml:space="preserve">Approved MIG Implementation Plan </t>
  </si>
  <si>
    <t>Approved MIG Implementation Plan by 30 June 2018</t>
  </si>
  <si>
    <t>Approved MlG Implementation Plan Council Resolution</t>
  </si>
  <si>
    <t>Within 10 working days</t>
  </si>
  <si>
    <t>Within 30 days of receipt from the service provider</t>
  </si>
  <si>
    <t>100% of Audit and Performance Audit  Committee resolutions implemented</t>
  </si>
  <si>
    <t>Progress report and Completion certificates</t>
  </si>
  <si>
    <t>20,21,26 &amp; 30</t>
  </si>
  <si>
    <t>100% of complaints resolved( # of complaints received / # of complaints attended )</t>
  </si>
  <si>
    <t>Tender Advertisement</t>
  </si>
  <si>
    <t>Appointment letter and Progress report</t>
  </si>
  <si>
    <t>Practical completion of phase 3 of Rotterdam Sports Complex (Phase 3 of 4)</t>
  </si>
  <si>
    <t>Progress report and Practical completion certificate</t>
  </si>
  <si>
    <t>Progress report and Completion certificate</t>
  </si>
  <si>
    <t xml:space="preserve">Appointment of service provider </t>
  </si>
  <si>
    <t>Tender advertisement</t>
  </si>
  <si>
    <t>Appointment of Service Provider</t>
  </si>
  <si>
    <t>Service provider Appointed and project commencement</t>
  </si>
  <si>
    <t>Payment Certificate, Delivery note/GRN</t>
  </si>
  <si>
    <t>Proof of Purchase/GRN</t>
  </si>
  <si>
    <t xml:space="preserve">Delivery note/GRN and Payment Certificates </t>
  </si>
  <si>
    <t>Payment Certificate and delivery note/GRN</t>
  </si>
  <si>
    <t xml:space="preserve">Delivery note/GRN and Payment Certificate </t>
  </si>
  <si>
    <t xml:space="preserve">Region/Ward </t>
  </si>
  <si>
    <t>MUNICIPAL FINANCE VIABILITY</t>
  </si>
  <si>
    <t>Capital Works Plan for Multi -Year Projects</t>
  </si>
  <si>
    <t>Table SB12</t>
  </si>
  <si>
    <t>Table SB14</t>
  </si>
  <si>
    <t>To ensure that  the reviewed organizational structure is approved by council by 31 May 2020</t>
  </si>
  <si>
    <t>Council Approved Organizational structure by 31 May 2020</t>
  </si>
  <si>
    <t>Budget 2019/20</t>
  </si>
  <si>
    <t>1st Quarter       (1 Jul-30 Sept 2019)</t>
  </si>
  <si>
    <t>2nd Quarter (1 Oct -31 Dec 2019)</t>
  </si>
  <si>
    <t>3rd Quarter (1 Jan 31 Mar 2020)</t>
  </si>
  <si>
    <t>4th Quarter   (1 Apr- 30 Jun 2020)</t>
  </si>
  <si>
    <t>Approval of the IDP/Budget/PMS process plan by 31 July 2019</t>
  </si>
  <si>
    <t>Approval of 2019/20 IDP/Budget/PMS Process Plan by 31 July 2019</t>
  </si>
  <si>
    <t>Approval of the Draft 2020/21 IDP by 31 March 2020 &amp; final IDP by 31 May 2020</t>
  </si>
  <si>
    <t>Approval of IDP by Council by 30 June 2020</t>
  </si>
  <si>
    <t>Approval of final 2020/21 IDP by 31 May 2020</t>
  </si>
  <si>
    <t>Approval of draft  2020/21 IDP by 31 March 2020</t>
  </si>
  <si>
    <t>To ensure that SDBIP is finalised by 30 June 2020</t>
  </si>
  <si>
    <t>Approval of final 2020/21 SDBIP by the Mayor within 28 days after adoption of the Budget and IDP by 30 June 2020</t>
  </si>
  <si>
    <t>Performance Agreements signed by Sec 54 &amp; 56 Managers by 31 July 2019</t>
  </si>
  <si>
    <t>31-01-2019</t>
  </si>
  <si>
    <t>Submission of 2019/20 Mid-year report to CoGHSTA, Provincial Treasury and National Treasury by 25 January 2020</t>
  </si>
  <si>
    <t>Submission of 2018/19 Annua Institutional Performance Repor by 30 August 2019</t>
  </si>
  <si>
    <t>Tabling of 2018/19 Annual report in Council by 31 January 2020</t>
  </si>
  <si>
    <t>Tabling of 2018/19 Oversight report on the Annual Report in Council by 31 March 2020</t>
  </si>
  <si>
    <t>Publishing of the 2018/19 Oversight report in the Newspaper &amp; Website within 7 days of adoption by 07 April 2020</t>
  </si>
  <si>
    <t>Reviewed 2019/20 SDBIP, Council resolution</t>
  </si>
  <si>
    <t>Approval of the reviewed 2019/20 SDBIP  in Council by 31 March 2020</t>
  </si>
  <si>
    <t>Development of 2018/19 Audit Action plan by 31 January 2020</t>
  </si>
  <si>
    <t>Development of 2018/19 Internal Audit  plan by 30 June 2020</t>
  </si>
  <si>
    <t>100% internal audit issues resolved (# of  Internal Audit issues resolved / # of issues raised) by June 2020</t>
  </si>
  <si>
    <t>100% AG issues resolved by 30 June 2020</t>
  </si>
  <si>
    <t>100% Risk issues resolved by 30 June 2020</t>
  </si>
  <si>
    <t xml:space="preserve">To attain Clean Audit by ensuring compliance to all governance; financial management and reporting requirements by 30 June </t>
  </si>
  <si>
    <t xml:space="preserve">To ensure efffective implementation  of risk mitigations actions 30 June </t>
  </si>
  <si>
    <t xml:space="preserve">2019/20 WARD INFORMATION FOR EXPENDITURE AND SERVICE DELIVERY /CAPITAL WORKS PLAN SUMMARY OF CAPITAL PROJECTS  FOR THE YEAR                                                                                   </t>
  </si>
  <si>
    <t xml:space="preserve">2019/20 WARD INFORMATION FOR EXPENDITURE AND SERVICE DELIVERY /CAPITAL WORKS PLAN SUMMARY OF CAPITAL PROJECTS FOR THE YEAR                                                                                   </t>
  </si>
  <si>
    <t xml:space="preserve">2019/20 CAPITAL WORKS PLAN FOR MULTI-YEAR PROJECTS                                                                                  </t>
  </si>
  <si>
    <t>Budget Year 2021/22</t>
  </si>
  <si>
    <t>Approval of Draft 2019/20 Budget by Council on 31 March 2020</t>
  </si>
  <si>
    <t>Approval of Final 2019/20 Budget by Council on 31 May 2020</t>
  </si>
  <si>
    <t>Approval of 21 budget related policies by Council on 31 March 2020</t>
  </si>
  <si>
    <t>Approval of 2019/20 Adjustement budget in Council by 28 February 2020</t>
  </si>
  <si>
    <t>Submission of Unaudited Financial Statements by 31 August 2019</t>
  </si>
  <si>
    <t xml:space="preserve"># of Sec 32 Register developed and updated </t>
  </si>
  <si>
    <t>12 Sec 32 register developed and updated by 30 June 2019.</t>
  </si>
  <si>
    <t>Approval of 4 Finance by-laws by 31 May 2020.</t>
  </si>
  <si>
    <t>Approval of Finance by-laws by 31 May 2020</t>
  </si>
  <si>
    <t>Submission of monthly Sec 71 reports to Provincial treasury within 10 working days by 30 June 2020</t>
  </si>
  <si>
    <t>SCM structures appointed by 30 June 2019</t>
  </si>
  <si>
    <t>Appointment of Supply Chain Structures (Bid Specifications, Bid Evaluation and Bid Adjucation Committees) by 31 July 2019</t>
  </si>
  <si>
    <t>28 policies and 5 of By laws reviewed by 30 June 2020</t>
  </si>
  <si>
    <t xml:space="preserve"> 5 of By laws promulgated/ by laws due for promulgation by 30 June 2020</t>
  </si>
  <si>
    <t>To purchase 8*Cash boxes by 30 June 2020</t>
  </si>
  <si>
    <t>Supply &amp; delivery of 8*Cash boxes by 30 June 2020</t>
  </si>
  <si>
    <t>8*Cash boxes purchased &amp; delivered</t>
  </si>
  <si>
    <t>Security cameras supplied &amp; installed</t>
  </si>
  <si>
    <t>Supply &amp; installation of security cameras</t>
  </si>
  <si>
    <t>To supply &amp; install security cameras by 30 June 2020</t>
  </si>
  <si>
    <t>To purchase  battery &amp; tyre marking machine by 30 June 2020</t>
  </si>
  <si>
    <t>Supply &amp; delivery of battery &amp; tyre marking  machine</t>
  </si>
  <si>
    <t>battery &amp; tyre marking machine purchased &amp; delivered</t>
  </si>
  <si>
    <t xml:space="preserve">Tender Advertisement, SCM processes </t>
  </si>
  <si>
    <t>To puchase POE switches replacement by 30 June 2020</t>
  </si>
  <si>
    <t xml:space="preserve">Supply &amp; delivery of POE switches replacement </t>
  </si>
  <si>
    <t>POE switches replacement purchased &amp; delivered</t>
  </si>
  <si>
    <t>To purchase 15* Laptop replacement by 30  June 2019</t>
  </si>
  <si>
    <t>15* Laptops replacement purchased &amp; delivered</t>
  </si>
  <si>
    <t>To purchase of 20* Desktop PC replacement by 30 June 2020</t>
  </si>
  <si>
    <t xml:space="preserve">Supply &amp; delivery of 15* Laptops replacement </t>
  </si>
  <si>
    <t xml:space="preserve">Supply &amp; delivery of 20* Desktop PC replacement </t>
  </si>
  <si>
    <t>20* Desktop PC replacement pruchased &amp; delivered</t>
  </si>
  <si>
    <t>To purchase and install air conditioners (Kgapane old sub office (facilities) &amp; Modjadjiskloof registering authority by 30 June 2020</t>
  </si>
  <si>
    <t>Supply and install air conditioners (Kgapane old sub office (facilities) &amp; Modjadjiskloof registering authority</t>
  </si>
  <si>
    <t>air conditioners (Kgapane old sub office (facilities) &amp; Modjadjiskloof registering authority supplied &amp; installed</t>
  </si>
  <si>
    <t>Director Community Services</t>
  </si>
  <si>
    <t>Council chamber recording system purchased and delivered</t>
  </si>
  <si>
    <t>To purchase Council chamber recording system by 30 June 2020</t>
  </si>
  <si>
    <t>2* bathopele tables purchased and delivered</t>
  </si>
  <si>
    <t>To purchase of 2* Bathopele tables by 30 June 2020</t>
  </si>
  <si>
    <t>Supply and delivery 3* water despenser</t>
  </si>
  <si>
    <t>3 * Water despender purchased and delivered</t>
  </si>
  <si>
    <t>To Construct  a community hall at Ward 5 by 30 June 2020</t>
  </si>
  <si>
    <t>Construction of Ward 5 Community Hall (Planning)</t>
  </si>
  <si>
    <t>Tender Advertisement, SCM processes</t>
  </si>
  <si>
    <t>Supply &amp; installation of aircons 12 BTU for Community halls</t>
  </si>
  <si>
    <t>To purchase &amp; installation of aircons 12 BTU for Community halls by 30 June 2020</t>
  </si>
  <si>
    <t>aircons 12 BTU for Community halls purchased &amp; installed</t>
  </si>
  <si>
    <t>Appointment of the Service provider</t>
  </si>
  <si>
    <t>Supply &amp; installation of Gate (main office,pedestrain), Old sub office and stotes</t>
  </si>
  <si>
    <t>Supply &amp; delivery of fire exinguishers</t>
  </si>
  <si>
    <t>Fire exinguishers purchased and installed</t>
  </si>
  <si>
    <t>To erect and ernergise 7x Highmast Lights in Jamela, Jokong, Maphalle, Shawela, Ramaroka, Block 18 and Polaseng  by 30 June 2020</t>
  </si>
  <si>
    <t>Construction of Mamanyoha Sports Complex</t>
  </si>
  <si>
    <t>Construction of Rotterdam Sports Complex</t>
  </si>
  <si>
    <t xml:space="preserve">Service provider of the Appointed </t>
  </si>
  <si>
    <t>8* Industrial Lawn mower purchased &amp; delivered</t>
  </si>
  <si>
    <t>Supply &amp; delivery of 8*Industrial lawn mower</t>
  </si>
  <si>
    <t>To construct a street in Manningburg by 30 June 2020</t>
  </si>
  <si>
    <t xml:space="preserve"> Tender Advertisement</t>
  </si>
  <si>
    <t xml:space="preserve">Develop Specifications &amp; submit to SCM </t>
  </si>
  <si>
    <t>Project Completion</t>
  </si>
  <si>
    <t>Designs &amp; planning of Rampepe access bridge</t>
  </si>
  <si>
    <t>Establishment of RA and DLTC (Mokwakwaila Licensing)</t>
  </si>
  <si>
    <t>Establishment of RA and DLTC (Mokwakwaila Licensing) completion</t>
  </si>
  <si>
    <t>To purchase &amp; Install Counter, Bullet Glass and Cubbicles by 30 June 2020</t>
  </si>
  <si>
    <t>Supply &amp; Installation of  Counter, Bullet Glass and Cubbicles</t>
  </si>
  <si>
    <t>Counter, Bullet Glass and Cubbicles supplied &amp; installed</t>
  </si>
  <si>
    <t xml:space="preserve">Delivery note/GRN and Payment Certificates/Completion certificate </t>
  </si>
  <si>
    <t>Supply&amp; Installation of  Cubbicles-Kgapane DLTC Licensing</t>
  </si>
  <si>
    <t>Installation of  Cubbicles-Kgapane DLTC Licensing supplied</t>
  </si>
  <si>
    <t>To Orthorators (Eye test machines ) Modjdjiskloof, Kgapane &amp; Mokwakwaila by 30 June 2020</t>
  </si>
  <si>
    <t xml:space="preserve"> Orthorators (Eye test machines ) Modjdjiskloof, Kgapane &amp; Mokwakwaila purchased &amp; delivered</t>
  </si>
  <si>
    <t>Supply &amp; delivery of Orthorators (Eye test machines ) Modjdjiskloof, Kgapane &amp; Mokwakwaila</t>
  </si>
  <si>
    <t>To purchase 2* Traffic patrol vehicles by 30 June 2020</t>
  </si>
  <si>
    <t>Supply &amp; delivery of 2* Traffic patrol vehicles</t>
  </si>
  <si>
    <t>2* Traffic patrol vehicles purchsed &amp; delivered</t>
  </si>
  <si>
    <t>10* Stop watches purchased &amp; delivered</t>
  </si>
  <si>
    <t>To supply and delivery 10* Stop watches</t>
  </si>
  <si>
    <t xml:space="preserve">Supply and delivery of 5* Colour printers </t>
  </si>
  <si>
    <t>5* Colour printers purchsed</t>
  </si>
  <si>
    <t>To purchase 5* Colour printers by 30 June 2020</t>
  </si>
  <si>
    <t>To purchase 10* Stop watches  by 30 June 2020</t>
  </si>
  <si>
    <t>To  purchase Silent Mobile  Generator 50 KVA with Trailer by 30 June 2020</t>
  </si>
  <si>
    <t>Supply &amp; delivery of Silent Mobile  Generator 50 KVA with Trailer</t>
  </si>
  <si>
    <t xml:space="preserve">Silent Mobile  Generator 50 KVA with Trailer purchased </t>
  </si>
  <si>
    <t>To purchase  replacement of aged Low voltage metere boxes in Modjadjiskloof by 30 June 2020</t>
  </si>
  <si>
    <t>Supply &amp;delivery of replacement of aged Low voltage metere boxes in Modjadjiskloof</t>
  </si>
  <si>
    <t>Replacement of aged Low voltage metere boxes in Modjadjiskloof purchased &amp; delivered</t>
  </si>
  <si>
    <t>To purchase 315 KVA pole transformer by 30 June 2020</t>
  </si>
  <si>
    <t>315 KVA pole transformer purchased</t>
  </si>
  <si>
    <t>200 KVA pole transformer purchased</t>
  </si>
  <si>
    <t>To purchase 200 KVA pole transformer by 30 June 2020</t>
  </si>
  <si>
    <t>Crane trruck bucket purchased</t>
  </si>
  <si>
    <t xml:space="preserve">Supply &amp; delivery of 200 KVA pole transformer </t>
  </si>
  <si>
    <t>Supply &amp; delivery of  315 KVA pole transformer</t>
  </si>
  <si>
    <t>Supply &amp; delivery of Crane truck bucket</t>
  </si>
  <si>
    <t>To purchase Crane truck bucket by 30 June 2020</t>
  </si>
  <si>
    <t>To Construct Municipal Building Metering Points (Workshop,Library, Kgapane &amp; Senwamokgope) by 30 June 2020</t>
  </si>
  <si>
    <t xml:space="preserve">Construction of  Municipal Building Metering Points (Workshop,Library, Kgapane &amp; Senwamokgope) </t>
  </si>
  <si>
    <t>Construction completed/Project completion</t>
  </si>
  <si>
    <t>To refurbish LV network by 30 June 2020</t>
  </si>
  <si>
    <t xml:space="preserve">Refurbishment of  LV network </t>
  </si>
  <si>
    <t>Project completion</t>
  </si>
  <si>
    <t>To construct streets paving in Jokong by 30 June 2020</t>
  </si>
  <si>
    <t>01,  06 &amp; 07</t>
  </si>
  <si>
    <t>3 &amp; 4</t>
  </si>
  <si>
    <t>3, 4 &amp; 27</t>
  </si>
  <si>
    <t>Head Office (27)</t>
  </si>
  <si>
    <t>03 &amp; 04</t>
  </si>
  <si>
    <t>To Construct Low Level Bridges by 30 June 2020</t>
  </si>
  <si>
    <t>Construction of Low Level Bridges</t>
  </si>
  <si>
    <t>Construction of Moshakga street paving</t>
  </si>
  <si>
    <t>To Construct Mokwasele paving Cemetery by 30 June 2020</t>
  </si>
  <si>
    <t>Construction of Mokwasele Cemetery paving</t>
  </si>
  <si>
    <t>Planning &amp; designs of Ward 9 (Sekgopo ) streets paving by 30 June 2020</t>
  </si>
  <si>
    <t>Planning &amp; designs of Ward 13 (Senwamokgope) streets paving by 30 June 2020</t>
  </si>
  <si>
    <t>Planning &amp; designs of Khethothone street paving</t>
  </si>
  <si>
    <t>Planning &amp; designs of Mmamokgadi street paving</t>
  </si>
  <si>
    <t>Construction of Lemondokop street paving</t>
  </si>
  <si>
    <t>Construction of Itieleng Sekgosese street paving</t>
  </si>
  <si>
    <t>Planning &amp; designs of Ward 5 (Malematsa) street paving</t>
  </si>
  <si>
    <t>Planning &amp; designs of Ward (Sekgopo) street paving</t>
  </si>
  <si>
    <t>Planning &amp; designs of Maapana street paving</t>
  </si>
  <si>
    <t>To construct Itieleng Sekgosese- street paving by 30 June 2020</t>
  </si>
  <si>
    <t>To construct Lemondokop street paving by 30 June 2020</t>
  </si>
  <si>
    <t>Planning &amp; designs of Mmamokgadi street paving by 30 June 2020</t>
  </si>
  <si>
    <t>Planning &amp; designs of Khethothone street paving by 30 June 2020</t>
  </si>
  <si>
    <t>Planning &amp; designs of ward 5 (Malematsa) street paving by 30 June 2020</t>
  </si>
  <si>
    <t>Planning &amp; designs of Ward 15 (Phase 2) streets paving by 30 June 2020</t>
  </si>
  <si>
    <t>Planning &amp; designs of Ward 15 (Phase 2) strees paving</t>
  </si>
  <si>
    <t>Planning &amp; designs of Ward 13 (Senwamokgope) street paving</t>
  </si>
  <si>
    <t>Planning &amp; designs of Maupa street paving by 30 June 2020</t>
  </si>
  <si>
    <t>Planning &amp; designs of Maupa street paving</t>
  </si>
  <si>
    <t>Planning &amp; designs of Ramoadi street paving by 30 June 2020</t>
  </si>
  <si>
    <t>Planning &amp; designs of Ramoadi street paving</t>
  </si>
  <si>
    <t>Planning &amp; designs of Mokgoba street paving by 30 June 2021</t>
  </si>
  <si>
    <t>Planning &amp; designs of Mokgoba street paving</t>
  </si>
  <si>
    <t>Planning &amp; designs of Sephukhubje street paving by 30 June 2022</t>
  </si>
  <si>
    <t>Planning &amp; designs of Mohlabaneng street paving by 30 June 2023</t>
  </si>
  <si>
    <t>Planning &amp; designs of Sephukhubje street paving</t>
  </si>
  <si>
    <t>Planning &amp; designs of Mohlabaneng street paving</t>
  </si>
  <si>
    <t>Planning &amp; designs of Motsinoni street paving by 30 June 2024</t>
  </si>
  <si>
    <t>Planning &amp; designs of Motsinoni street paving</t>
  </si>
  <si>
    <t>16 &amp; 18</t>
  </si>
  <si>
    <t>19,20,21,26 &amp; 30</t>
  </si>
  <si>
    <t>Paving-Mokwasele Cemetery</t>
  </si>
  <si>
    <t>Planning &amp; designs of Mapaana street paving by 30 June 2020</t>
  </si>
  <si>
    <t>Mapaana street paving</t>
  </si>
  <si>
    <t>Malematsa street paving</t>
  </si>
  <si>
    <t>Ward 9 (Sekgopo) street paving</t>
  </si>
  <si>
    <t>Ward 13  (Senwamokgope) street paving</t>
  </si>
  <si>
    <t>Ward 15 (Phase2) street paving</t>
  </si>
  <si>
    <t>Maupa street paving</t>
  </si>
  <si>
    <t>Ramoadi sreet paving</t>
  </si>
  <si>
    <t>Sephukhubje street paving</t>
  </si>
  <si>
    <t>Mokgoba street paving</t>
  </si>
  <si>
    <t>Mohlabaneng street paving</t>
  </si>
  <si>
    <t>Motsinoni street paving</t>
  </si>
  <si>
    <t>Rampepem Access Bridge (designs)</t>
  </si>
  <si>
    <t>To purchase of 3* water dispenser by 30 June 2020</t>
  </si>
  <si>
    <t>Budget &amp; Treasury Office</t>
  </si>
  <si>
    <t>SCM processes &amp; Appointment of service provider</t>
  </si>
  <si>
    <t>Libraries &amp; Achieves</t>
  </si>
  <si>
    <t>To Purchase Fire Exinguishers by 30 June 2020</t>
  </si>
  <si>
    <t>Disaster Management</t>
  </si>
  <si>
    <t>10* Chain saws purchased and delivered</t>
  </si>
  <si>
    <t>Storm Water Maanagement</t>
  </si>
  <si>
    <t>Roads</t>
  </si>
  <si>
    <t xml:space="preserve">Roads </t>
  </si>
  <si>
    <t>Construction of Kgapane Stadium Phase 3 (Multi-year)</t>
  </si>
  <si>
    <t>Construction of Jokong Street Paving (Multi-year)</t>
  </si>
  <si>
    <t xml:space="preserve">Publish Oversight report in the Media (Media print / Website) within 7 days of adoption </t>
  </si>
  <si>
    <t>Construction continues</t>
  </si>
  <si>
    <t>Construction continues/ Progress report</t>
  </si>
  <si>
    <t>Construction continues/Progress report/Practical Complettion</t>
  </si>
  <si>
    <t>Mamanyoha Sports Complex completed/ project completion</t>
  </si>
  <si>
    <t>Progress repor/ Completion certificate</t>
  </si>
  <si>
    <t>To complete construction of Sports Complex in Mamanyowa by 30 June 2020</t>
  </si>
  <si>
    <t>To complete construction of Kgapane Stadiun Phase 3 by 30 June 2020</t>
  </si>
  <si>
    <t>To complete construction of sport complex in Thakgalane Ph1 by 30 June 2020</t>
  </si>
  <si>
    <t>To complete construction of  Sports Complex in Rotterdam by 30 June 2020</t>
  </si>
  <si>
    <t>Practical completion</t>
  </si>
  <si>
    <t>To purchase 8*industrial lawn mower  by 30 June 2020</t>
  </si>
  <si>
    <t>To complete construction of  Moshakga streets paving by June 2020</t>
  </si>
  <si>
    <t>Preliminary report</t>
  </si>
  <si>
    <t>Technical report/Working draft document</t>
  </si>
  <si>
    <t>Layout report</t>
  </si>
  <si>
    <t>Print document/Printout report</t>
  </si>
  <si>
    <r>
      <t xml:space="preserve">100% </t>
    </r>
    <r>
      <rPr>
        <b/>
        <sz val="8"/>
        <color theme="1"/>
        <rFont val="Arial"/>
        <family val="2"/>
      </rPr>
      <t xml:space="preserve">R 3 513 047,15 </t>
    </r>
    <r>
      <rPr>
        <sz val="8"/>
        <color theme="1"/>
        <rFont val="Arial"/>
        <family val="2"/>
      </rPr>
      <t>PMU Management Budget spent</t>
    </r>
  </si>
  <si>
    <r>
      <rPr>
        <b/>
        <sz val="8"/>
        <color theme="1"/>
        <rFont val="Arial"/>
        <family val="2"/>
      </rPr>
      <t xml:space="preserve">15%  R 526 957,07 </t>
    </r>
    <r>
      <rPr>
        <sz val="8"/>
        <color theme="1"/>
        <rFont val="Arial"/>
        <family val="2"/>
      </rPr>
      <t>PMU Management Budget spent</t>
    </r>
  </si>
  <si>
    <r>
      <rPr>
        <b/>
        <sz val="8"/>
        <color theme="1"/>
        <rFont val="Arial"/>
        <family val="2"/>
      </rPr>
      <t xml:space="preserve">35%   R 1 229 566,50 </t>
    </r>
    <r>
      <rPr>
        <sz val="8"/>
        <color theme="1"/>
        <rFont val="Arial"/>
        <family val="2"/>
      </rPr>
      <t>PMU Management Budget spent</t>
    </r>
  </si>
  <si>
    <r>
      <rPr>
        <b/>
        <sz val="8"/>
        <color theme="1"/>
        <rFont val="Arial"/>
        <family val="2"/>
      </rPr>
      <t>70% R 2 459 123,01</t>
    </r>
    <r>
      <rPr>
        <sz val="8"/>
        <color theme="1"/>
        <rFont val="Arial"/>
        <family val="2"/>
      </rPr>
      <t xml:space="preserve"> PMU Management Budget spent</t>
    </r>
  </si>
  <si>
    <r>
      <t>100%</t>
    </r>
    <r>
      <rPr>
        <b/>
        <sz val="8"/>
        <color theme="1"/>
        <rFont val="Arial"/>
        <family val="2"/>
      </rPr>
      <t xml:space="preserve"> R 3 513 047,15  </t>
    </r>
    <r>
      <rPr>
        <sz val="8"/>
        <color theme="1"/>
        <rFont val="Arial"/>
        <family val="2"/>
      </rPr>
      <t>PMU Management Budget spent</t>
    </r>
  </si>
  <si>
    <r>
      <t xml:space="preserve">100% </t>
    </r>
    <r>
      <rPr>
        <b/>
        <sz val="8"/>
        <color rgb="FF000000"/>
        <rFont val="Arial"/>
        <family val="2"/>
      </rPr>
      <t>R 151 554 220</t>
    </r>
    <r>
      <rPr>
        <sz val="8"/>
        <color rgb="FF000000"/>
        <rFont val="Arial"/>
        <family val="2"/>
      </rPr>
      <t xml:space="preserve"> </t>
    </r>
    <r>
      <rPr>
        <b/>
        <sz val="8"/>
        <color rgb="FF000000"/>
        <rFont val="Arial"/>
        <family val="2"/>
      </rPr>
      <t xml:space="preserve">                             </t>
    </r>
    <r>
      <rPr>
        <sz val="8"/>
        <color rgb="FF000000"/>
        <rFont val="Arial"/>
        <family val="2"/>
      </rPr>
      <t>Capital Budget spent</t>
    </r>
  </si>
  <si>
    <r>
      <t>15%</t>
    </r>
    <r>
      <rPr>
        <b/>
        <sz val="8"/>
        <color rgb="FF000000"/>
        <rFont val="Arial"/>
        <family val="2"/>
      </rPr>
      <t xml:space="preserve"> R 22 733 133</t>
    </r>
    <r>
      <rPr>
        <sz val="8"/>
        <color rgb="FF000000"/>
        <rFont val="Arial"/>
        <family val="2"/>
      </rPr>
      <t xml:space="preserve"> Capital Budget spent</t>
    </r>
  </si>
  <si>
    <r>
      <t xml:space="preserve">35% </t>
    </r>
    <r>
      <rPr>
        <b/>
        <sz val="8"/>
        <color rgb="FF000000"/>
        <rFont val="Arial"/>
        <family val="2"/>
      </rPr>
      <t>R 53 043 977</t>
    </r>
    <r>
      <rPr>
        <sz val="8"/>
        <color rgb="FF000000"/>
        <rFont val="Arial"/>
        <family val="2"/>
      </rPr>
      <t xml:space="preserve"> Capital Budget spent</t>
    </r>
  </si>
  <si>
    <r>
      <t>75%</t>
    </r>
    <r>
      <rPr>
        <b/>
        <sz val="8"/>
        <color rgb="FF000000"/>
        <rFont val="Arial"/>
        <family val="2"/>
      </rPr>
      <t xml:space="preserve"> R 113 665 665 </t>
    </r>
    <r>
      <rPr>
        <sz val="8"/>
        <color rgb="FF000000"/>
        <rFont val="Arial"/>
        <family val="2"/>
      </rPr>
      <t>Capital Budget spent</t>
    </r>
  </si>
  <si>
    <r>
      <t xml:space="preserve">100% </t>
    </r>
    <r>
      <rPr>
        <b/>
        <sz val="8"/>
        <color rgb="FF000000"/>
        <rFont val="Arial"/>
        <family val="2"/>
      </rPr>
      <t xml:space="preserve">  R 151 554 220                               </t>
    </r>
    <r>
      <rPr>
        <sz val="8"/>
        <color rgb="FF000000"/>
        <rFont val="Arial"/>
        <family val="2"/>
      </rPr>
      <t>Capital Budget spent</t>
    </r>
  </si>
  <si>
    <r>
      <t xml:space="preserve">100% </t>
    </r>
    <r>
      <rPr>
        <b/>
        <sz val="8"/>
        <rFont val="Arial"/>
        <family val="2"/>
      </rPr>
      <t xml:space="preserve"> R 402 534 443,36 </t>
    </r>
    <r>
      <rPr>
        <sz val="8"/>
        <rFont val="Arial"/>
        <family val="2"/>
      </rPr>
      <t>Operational Budget spent</t>
    </r>
  </si>
  <si>
    <r>
      <t>15%</t>
    </r>
    <r>
      <rPr>
        <b/>
        <sz val="8"/>
        <rFont val="Arial"/>
        <family val="2"/>
      </rPr>
      <t xml:space="preserve"> R60 380 166,50</t>
    </r>
    <r>
      <rPr>
        <sz val="8"/>
        <rFont val="Arial"/>
        <family val="2"/>
      </rPr>
      <t xml:space="preserve"> Capital Budget spent</t>
    </r>
  </si>
  <si>
    <r>
      <t xml:space="preserve">35% </t>
    </r>
    <r>
      <rPr>
        <b/>
        <sz val="8"/>
        <rFont val="Arial"/>
        <family val="2"/>
      </rPr>
      <t>R 140 887 055,18</t>
    </r>
    <r>
      <rPr>
        <sz val="8"/>
        <rFont val="Arial"/>
        <family val="2"/>
      </rPr>
      <t xml:space="preserve"> Capital Budget spent</t>
    </r>
  </si>
  <si>
    <r>
      <t xml:space="preserve">75% </t>
    </r>
    <r>
      <rPr>
        <b/>
        <sz val="8"/>
        <rFont val="Arial"/>
        <family val="2"/>
      </rPr>
      <t xml:space="preserve">R 281 774 110,35 </t>
    </r>
    <r>
      <rPr>
        <sz val="8"/>
        <rFont val="Arial"/>
        <family val="2"/>
      </rPr>
      <t>Capital Budget spent</t>
    </r>
  </si>
  <si>
    <r>
      <t xml:space="preserve">100% </t>
    </r>
    <r>
      <rPr>
        <b/>
        <sz val="8"/>
        <color rgb="FF000000"/>
        <rFont val="Arial"/>
        <family val="2"/>
      </rPr>
      <t xml:space="preserve">R 54 094 952,85 </t>
    </r>
    <r>
      <rPr>
        <sz val="8"/>
        <color rgb="FF000000"/>
        <rFont val="Arial"/>
        <family val="2"/>
      </rPr>
      <t xml:space="preserve"> MIG expenditure</t>
    </r>
  </si>
  <si>
    <r>
      <t xml:space="preserve">15% </t>
    </r>
    <r>
      <rPr>
        <b/>
        <sz val="8"/>
        <color rgb="FF000000"/>
        <rFont val="Arial"/>
        <family val="2"/>
      </rPr>
      <t>R 8 114 242,93</t>
    </r>
    <r>
      <rPr>
        <sz val="8"/>
        <color rgb="FF000000"/>
        <rFont val="Arial"/>
        <family val="2"/>
      </rPr>
      <t xml:space="preserve"> MIG expenditure</t>
    </r>
  </si>
  <si>
    <r>
      <t>35%</t>
    </r>
    <r>
      <rPr>
        <b/>
        <sz val="8"/>
        <color rgb="FF000000"/>
        <rFont val="Arial"/>
        <family val="2"/>
      </rPr>
      <t xml:space="preserve"> R 18 933 233,50</t>
    </r>
    <r>
      <rPr>
        <sz val="8"/>
        <color rgb="FF000000"/>
        <rFont val="Arial"/>
        <family val="2"/>
      </rPr>
      <t xml:space="preserve"> MIG expenditure</t>
    </r>
  </si>
  <si>
    <r>
      <t>70%</t>
    </r>
    <r>
      <rPr>
        <b/>
        <sz val="8"/>
        <color rgb="FF000000"/>
        <rFont val="Arial"/>
        <family val="2"/>
      </rPr>
      <t xml:space="preserve"> R 37 866 467</t>
    </r>
    <r>
      <rPr>
        <sz val="8"/>
        <color rgb="FF000000"/>
        <rFont val="Arial"/>
        <family val="2"/>
      </rPr>
      <t xml:space="preserve"> MIG expenditure</t>
    </r>
  </si>
  <si>
    <r>
      <t>100%</t>
    </r>
    <r>
      <rPr>
        <b/>
        <sz val="8"/>
        <color rgb="FF000000"/>
        <rFont val="Arial"/>
        <family val="2"/>
      </rPr>
      <t xml:space="preserve"> R 54 094 952,85 </t>
    </r>
    <r>
      <rPr>
        <sz val="8"/>
        <color rgb="FF000000"/>
        <rFont val="Arial"/>
        <family val="2"/>
      </rPr>
      <t>MIG expenditure</t>
    </r>
  </si>
  <si>
    <r>
      <t xml:space="preserve">100% </t>
    </r>
    <r>
      <rPr>
        <b/>
        <sz val="8"/>
        <color rgb="FF000000"/>
        <rFont val="Arial"/>
        <family val="2"/>
      </rPr>
      <t>R 0 INEP</t>
    </r>
    <r>
      <rPr>
        <sz val="8"/>
        <color rgb="FF000000"/>
        <rFont val="Arial"/>
        <family val="2"/>
      </rPr>
      <t xml:space="preserve"> expenditure</t>
    </r>
  </si>
  <si>
    <r>
      <t xml:space="preserve">15% </t>
    </r>
    <r>
      <rPr>
        <b/>
        <sz val="8"/>
        <color rgb="FF000000"/>
        <rFont val="Arial"/>
        <family val="2"/>
      </rPr>
      <t xml:space="preserve">R0  </t>
    </r>
    <r>
      <rPr>
        <sz val="8"/>
        <color rgb="FF000000"/>
        <rFont val="Arial"/>
        <family val="2"/>
      </rPr>
      <t>INEP expenditure</t>
    </r>
  </si>
  <si>
    <r>
      <t>35%</t>
    </r>
    <r>
      <rPr>
        <b/>
        <sz val="8"/>
        <color rgb="FF000000"/>
        <rFont val="Arial"/>
        <family val="2"/>
      </rPr>
      <t xml:space="preserve"> R0</t>
    </r>
    <r>
      <rPr>
        <sz val="8"/>
        <color rgb="FF000000"/>
        <rFont val="Arial"/>
        <family val="2"/>
      </rPr>
      <t xml:space="preserve"> INEP expenditure</t>
    </r>
  </si>
  <si>
    <r>
      <t>70%</t>
    </r>
    <r>
      <rPr>
        <b/>
        <sz val="8"/>
        <color rgb="FF000000"/>
        <rFont val="Arial"/>
        <family val="2"/>
      </rPr>
      <t xml:space="preserve"> R0 </t>
    </r>
    <r>
      <rPr>
        <sz val="8"/>
        <color rgb="FF000000"/>
        <rFont val="Arial"/>
        <family val="2"/>
      </rPr>
      <t>INEP expenditure</t>
    </r>
  </si>
  <si>
    <r>
      <t xml:space="preserve">100%  </t>
    </r>
    <r>
      <rPr>
        <b/>
        <sz val="8"/>
        <color rgb="FF000000"/>
        <rFont val="Arial"/>
        <family val="2"/>
      </rPr>
      <t>R 0</t>
    </r>
    <r>
      <rPr>
        <sz val="8"/>
        <color rgb="FF000000"/>
        <rFont val="Arial"/>
        <family val="2"/>
      </rPr>
      <t xml:space="preserve"> INEP expenditure</t>
    </r>
  </si>
  <si>
    <r>
      <t>100%</t>
    </r>
    <r>
      <rPr>
        <b/>
        <sz val="8"/>
        <rFont val="Arial"/>
        <family val="2"/>
      </rPr>
      <t xml:space="preserve"> R 2 145 000</t>
    </r>
    <r>
      <rPr>
        <sz val="8"/>
        <rFont val="Arial"/>
        <family val="2"/>
      </rPr>
      <t xml:space="preserve"> FMG expenditure</t>
    </r>
  </si>
  <si>
    <r>
      <t xml:space="preserve">15% </t>
    </r>
    <r>
      <rPr>
        <b/>
        <sz val="8"/>
        <rFont val="Arial"/>
        <family val="2"/>
      </rPr>
      <t xml:space="preserve">R321 750 </t>
    </r>
    <r>
      <rPr>
        <sz val="8"/>
        <rFont val="Arial"/>
        <family val="2"/>
      </rPr>
      <t>FMG Expenditure</t>
    </r>
  </si>
  <si>
    <r>
      <t>35 % R</t>
    </r>
    <r>
      <rPr>
        <b/>
        <sz val="8"/>
        <rFont val="Arial"/>
        <family val="2"/>
      </rPr>
      <t xml:space="preserve"> 750 750 </t>
    </r>
    <r>
      <rPr>
        <sz val="8"/>
        <rFont val="Arial"/>
        <family val="2"/>
      </rPr>
      <t>FMG Expenditure</t>
    </r>
  </si>
  <si>
    <r>
      <t>70%</t>
    </r>
    <r>
      <rPr>
        <b/>
        <sz val="8"/>
        <rFont val="Arial"/>
        <family val="2"/>
      </rPr>
      <t xml:space="preserve"> R 1 501 500</t>
    </r>
    <r>
      <rPr>
        <sz val="8"/>
        <rFont val="Arial"/>
        <family val="2"/>
      </rPr>
      <t xml:space="preserve"> FMG Expenditure</t>
    </r>
  </si>
  <si>
    <r>
      <t>100%</t>
    </r>
    <r>
      <rPr>
        <b/>
        <sz val="8"/>
        <rFont val="Arial"/>
        <family val="2"/>
      </rPr>
      <t xml:space="preserve"> R 2 145 000</t>
    </r>
    <r>
      <rPr>
        <sz val="8"/>
        <rFont val="Arial"/>
        <family val="2"/>
      </rPr>
      <t xml:space="preserve"> FMG Expenditure</t>
    </r>
  </si>
  <si>
    <r>
      <t xml:space="preserve">100% </t>
    </r>
    <r>
      <rPr>
        <b/>
        <sz val="8"/>
        <color rgb="FF000000"/>
        <rFont val="Arial"/>
        <family val="2"/>
      </rPr>
      <t>R 2 026 013,95</t>
    </r>
    <r>
      <rPr>
        <sz val="8"/>
        <color rgb="FF000000"/>
        <rFont val="Arial"/>
        <family val="2"/>
      </rPr>
      <t xml:space="preserve"> EPWP expenditure</t>
    </r>
  </si>
  <si>
    <r>
      <t xml:space="preserve">15% </t>
    </r>
    <r>
      <rPr>
        <b/>
        <sz val="8"/>
        <color rgb="FF000000"/>
        <rFont val="Arial"/>
        <family val="2"/>
      </rPr>
      <t xml:space="preserve">R 303 902,09 </t>
    </r>
    <r>
      <rPr>
        <sz val="8"/>
        <color rgb="FF000000"/>
        <rFont val="Arial"/>
        <family val="2"/>
      </rPr>
      <t>EPWP expenditure</t>
    </r>
  </si>
  <si>
    <r>
      <t>35%</t>
    </r>
    <r>
      <rPr>
        <b/>
        <sz val="8"/>
        <color rgb="FF000000"/>
        <rFont val="Arial"/>
        <family val="2"/>
      </rPr>
      <t xml:space="preserve"> R  709 104,88 </t>
    </r>
    <r>
      <rPr>
        <sz val="8"/>
        <color rgb="FF000000"/>
        <rFont val="Arial"/>
        <family val="2"/>
      </rPr>
      <t>EPWP expenditure</t>
    </r>
  </si>
  <si>
    <r>
      <t xml:space="preserve">70% </t>
    </r>
    <r>
      <rPr>
        <b/>
        <sz val="8"/>
        <color rgb="FF000000"/>
        <rFont val="Arial"/>
        <family val="2"/>
      </rPr>
      <t>R 1 418 209,77</t>
    </r>
    <r>
      <rPr>
        <sz val="8"/>
        <color rgb="FF000000"/>
        <rFont val="Arial"/>
        <family val="2"/>
      </rPr>
      <t xml:space="preserve"> EPWP expenditure</t>
    </r>
  </si>
  <si>
    <r>
      <t xml:space="preserve">100% </t>
    </r>
    <r>
      <rPr>
        <b/>
        <sz val="8"/>
        <rFont val="Arial"/>
        <family val="2"/>
      </rPr>
      <t>R 1 159 517</t>
    </r>
    <r>
      <rPr>
        <sz val="8"/>
        <rFont val="Arial"/>
        <family val="2"/>
      </rPr>
      <t xml:space="preserve"> FBS expenditure</t>
    </r>
  </si>
  <si>
    <r>
      <t xml:space="preserve">15% </t>
    </r>
    <r>
      <rPr>
        <b/>
        <sz val="8"/>
        <rFont val="Arial"/>
        <family val="2"/>
      </rPr>
      <t xml:space="preserve">R 173 927,55 </t>
    </r>
    <r>
      <rPr>
        <sz val="8"/>
        <rFont val="Arial"/>
        <family val="2"/>
      </rPr>
      <t>FBS expenditure</t>
    </r>
  </si>
  <si>
    <r>
      <t>35%</t>
    </r>
    <r>
      <rPr>
        <b/>
        <sz val="8"/>
        <rFont val="Arial"/>
        <family val="2"/>
      </rPr>
      <t xml:space="preserve"> R 405 830,95 </t>
    </r>
    <r>
      <rPr>
        <sz val="8"/>
        <rFont val="Arial"/>
        <family val="2"/>
      </rPr>
      <t xml:space="preserve"> FBS expenditure</t>
    </r>
  </si>
  <si>
    <r>
      <t xml:space="preserve">70% </t>
    </r>
    <r>
      <rPr>
        <b/>
        <sz val="8"/>
        <rFont val="Arial"/>
        <family val="2"/>
      </rPr>
      <t xml:space="preserve">R 811 661,90 </t>
    </r>
    <r>
      <rPr>
        <sz val="8"/>
        <rFont val="Arial"/>
        <family val="2"/>
      </rPr>
      <t>FBS expenditure</t>
    </r>
  </si>
  <si>
    <t>Supply &amp; delivery of Council Chamber Recording System</t>
  </si>
  <si>
    <t>Supply &amp; delivery of 2* Bathopele Tables</t>
  </si>
  <si>
    <t xml:space="preserve"> positions filled</t>
  </si>
  <si>
    <t>36 positions filled by 30 May 2020</t>
  </si>
  <si>
    <t>To Refurbish Doreen 11 KV line by 30 June 2020</t>
  </si>
  <si>
    <t>Refurbishmentof  Doreen 11 KV line</t>
  </si>
  <si>
    <t>Refurbishment of  Doreen 11 KV line completed</t>
  </si>
  <si>
    <t>To supply and delivery of 30*Skip Bins by 30 June 2020</t>
  </si>
  <si>
    <t xml:space="preserve">Supply &amp; delivery of 30* Skip Bins </t>
  </si>
  <si>
    <t>30 Skip bins purchased and delivered</t>
  </si>
  <si>
    <t>Implementation of Land Use Scheme by 30 June 2020</t>
  </si>
  <si>
    <t>To Implementation of Land Use Scheme by 30 June 2020</t>
  </si>
  <si>
    <t>Tender Advertised and Appointment of Service Provider</t>
  </si>
  <si>
    <t>To Establish RA and DLTC (Mokwakwaila Licensing) by 30 June 2020</t>
  </si>
  <si>
    <t>Planning &amp; designs of Ramaroka street paving by 30 June 2023</t>
  </si>
  <si>
    <t>To Supply&amp; Install Cubicles-Kgapane DLTC Licensing by 30 June 2020</t>
  </si>
  <si>
    <t>To designs Rampepe access bridge by 30 June 2020</t>
  </si>
  <si>
    <t xml:space="preserve">Town Establishment on Uitspan 172-LT </t>
  </si>
  <si>
    <t xml:space="preserve">Town Establishment Meidingen 398-LT </t>
  </si>
  <si>
    <t>Town Establishment on Uitspan 172-LT  by 30 June 2019</t>
  </si>
  <si>
    <t>Town Establishment  at Meidigen 398-LT by 30 June 2019</t>
  </si>
  <si>
    <t>Land Use Application</t>
  </si>
  <si>
    <t>All wards</t>
  </si>
  <si>
    <t>Property services</t>
  </si>
  <si>
    <t>Rehabilitation of Ga-Kgapane streets-Phase 3</t>
  </si>
  <si>
    <t>Ramartoka street paving</t>
  </si>
  <si>
    <t>Mamokgadi street paving</t>
  </si>
  <si>
    <t>Lemondokop street paving</t>
  </si>
  <si>
    <t>Table A3</t>
  </si>
  <si>
    <t>Table A4</t>
  </si>
  <si>
    <t xml:space="preserve">Table SA25 </t>
  </si>
  <si>
    <t>Movement</t>
  </si>
  <si>
    <t>Adjusted Budget</t>
  </si>
  <si>
    <t>2019/20 REVIEWED SERVICE DELIVERY IMPLEMENTATION PLAN</t>
  </si>
  <si>
    <r>
      <t xml:space="preserve">          2019/20 Reviewed SDBIP Compiled By:                                           
-----------------------------------                                                             -----------------------------
</t>
    </r>
    <r>
      <rPr>
        <b/>
        <sz val="11"/>
        <color theme="1"/>
        <rFont val="Calibri"/>
        <family val="2"/>
        <scheme val="minor"/>
      </rPr>
      <t>Dr K.I Sirovha</t>
    </r>
    <r>
      <rPr>
        <sz val="11"/>
        <color theme="1"/>
        <rFont val="Calibri"/>
        <family val="2"/>
        <scheme val="minor"/>
      </rPr>
      <t xml:space="preserve">                                                                                        DATE
Municipal Manager
Greater-Letaba Muncipality
    SDBIP  Approved By:
--------------------------------------                                                        -----------------------------
</t>
    </r>
    <r>
      <rPr>
        <b/>
        <sz val="11"/>
        <color theme="1"/>
        <rFont val="Calibri"/>
        <family val="2"/>
        <scheme val="minor"/>
      </rPr>
      <t>CLLR M.P Matlou</t>
    </r>
    <r>
      <rPr>
        <sz val="11"/>
        <color theme="1"/>
        <rFont val="Calibri"/>
        <family val="2"/>
        <scheme val="minor"/>
      </rPr>
      <t xml:space="preserve">                                                                                 DATE
Mayor
Greater-Letaba Muncipality</t>
    </r>
  </si>
  <si>
    <t>Ajusted Budget</t>
  </si>
  <si>
    <t>To purchase 60* Laptops by 30 June 2020</t>
  </si>
  <si>
    <t>Supply &amp; delivery of 60* Laptops</t>
  </si>
  <si>
    <t>Supply&amp; delivery of 5* Chain saws</t>
  </si>
  <si>
    <t>To purchsse 5 * Chain saws by 30 June 2020</t>
  </si>
  <si>
    <t>Fencing of Municipal workshop</t>
  </si>
  <si>
    <t>To Fence Municipal Workshop by 30 June 2020</t>
  </si>
  <si>
    <t>To rehabilitate Modjadjiskloof streets-Phase 2 by 30 June 2020</t>
  </si>
  <si>
    <t>To Re-routing of Christmas Rest HV line by 30 June 2021</t>
  </si>
  <si>
    <t>Re-routing of Christmas Rest HV line</t>
  </si>
  <si>
    <t xml:space="preserve">Appointment of the Service provider </t>
  </si>
  <si>
    <t>Site hand-over to commence with project implementation</t>
  </si>
  <si>
    <t>Appointment letter and site hand-over minuts</t>
  </si>
  <si>
    <t>To purchase &amp; installation of Gate Old sub office and stores by June 2020</t>
  </si>
  <si>
    <t xml:space="preserve"> Appointment of Service provider and installation od Gate (Old sub office) supplied &amp; installed</t>
  </si>
  <si>
    <t>Appointment letter and Delivery note</t>
  </si>
  <si>
    <t>Specification and advertisement by SCM</t>
  </si>
  <si>
    <t>Appointment of 5x service providers</t>
  </si>
  <si>
    <t>Appointment letters, Progress report and Completion Certificates</t>
  </si>
  <si>
    <t>Construction continues. Progress report at 30% physical progress</t>
  </si>
  <si>
    <t>Appointment letter, Progress report &amp; Completion Certificate</t>
  </si>
  <si>
    <t>Rehabilitation of Modjadjiskloof streets-Phase 2</t>
  </si>
  <si>
    <t xml:space="preserve">Appointment letter &amp; Progress report </t>
  </si>
  <si>
    <t>Construction continues. Progress report at 70% physical progress</t>
  </si>
  <si>
    <t>Construction continues. Progress report at 50% physical progress</t>
  </si>
  <si>
    <t>Appointment letter and design report</t>
  </si>
  <si>
    <t>Project design report complete</t>
  </si>
  <si>
    <t>Appointment letter and Delivery note/GRN</t>
  </si>
  <si>
    <t>Appointment of Service provider and project commencement</t>
  </si>
  <si>
    <t>Construction continues. Progress report at 85physical progress</t>
  </si>
  <si>
    <t>Construction continues. Progress report at 60% physical progress</t>
  </si>
  <si>
    <t>Construction continues. Progress report at 20% physical progress</t>
  </si>
  <si>
    <t>Construction continues. Progress report at 40% physical progress</t>
  </si>
  <si>
    <t>Progress report and Completion Certificate</t>
  </si>
  <si>
    <t xml:space="preserve">Progress report </t>
  </si>
  <si>
    <t>Construction continues. Progress report at 10% physical progress</t>
  </si>
  <si>
    <t>Completion of Thakgalane Stadium Ph1</t>
  </si>
  <si>
    <t>Completion of Madumeleng Stadium Ph1</t>
  </si>
  <si>
    <t>Completion of Jokong Street Paving Ph2</t>
  </si>
  <si>
    <t>Completion of Manningburg Street Paving</t>
  </si>
  <si>
    <t>Construction of Manningburg street paving(Multi-year)</t>
  </si>
  <si>
    <t>Project Completion Ph1</t>
  </si>
  <si>
    <t>To complete construction a Sport Complex in Madumeleng/ Shotong-Phase 01 by 30 June 2020</t>
  </si>
  <si>
    <t>To Construct Rasewana and Lenokwe streets-Phase 01 by 30 June 2020</t>
  </si>
  <si>
    <t>Construction of Rasewana and Lenokwe Streets paving (Multi-year)</t>
  </si>
  <si>
    <t>Construction of Madumeleng/shotong Sports Complex Ph1 (Multi-Year)</t>
  </si>
  <si>
    <t>Construction of Thakgalane Sports Complex Ph1( Multi-year)</t>
  </si>
  <si>
    <t>To purchase 02* Mobile Filling Units by 30 June 2020</t>
  </si>
  <si>
    <t>Supply &amp; delivery of 02* Mobile Filling Unuits</t>
  </si>
  <si>
    <t>02* Mobile Filling Units purchased &amp; delivered</t>
  </si>
  <si>
    <t>To Upgrade Electricity to NERSA Standards-NER Compilation</t>
  </si>
  <si>
    <t>Upgrading of  Electricity to NERSA Standards-NER Compilation</t>
  </si>
  <si>
    <t>To purchase 4X4 Electrical Bakkie by 30 June 2020</t>
  </si>
  <si>
    <t>To purchase 16kva transformer by 30 June 2020</t>
  </si>
  <si>
    <t>Supply &amp; delivery of 4X4 Electrical Bakkie</t>
  </si>
  <si>
    <t>Supply &amp; delivery of 16KVA Transformer</t>
  </si>
  <si>
    <t>The project removed during special budget adjustment due to financial constraint and project re-prioritisation</t>
  </si>
  <si>
    <t>Progress report</t>
  </si>
  <si>
    <t>4x4 Electrical Bakkie purchased</t>
  </si>
  <si>
    <t>16KVA transformer purchased</t>
  </si>
  <si>
    <t xml:space="preserve">15% in debt collected (# of debt collected/                </t>
  </si>
  <si>
    <t xml:space="preserve">35% in debt collected (# of debt collected/                </t>
  </si>
  <si>
    <t xml:space="preserve">70% in debt collected (# of debt collected/                </t>
  </si>
  <si>
    <t xml:space="preserve">100% in debt collected (# of debt collected/                </t>
  </si>
  <si>
    <t>[Insert departmental structure etc]</t>
  </si>
  <si>
    <t>R thousands</t>
  </si>
  <si>
    <t>A</t>
  </si>
  <si>
    <t>A1</t>
  </si>
  <si>
    <t>B</t>
  </si>
  <si>
    <t>C</t>
  </si>
  <si>
    <t>D</t>
  </si>
  <si>
    <t>E</t>
  </si>
  <si>
    <t>F</t>
  </si>
  <si>
    <t>G</t>
  </si>
  <si>
    <t>H</t>
  </si>
  <si>
    <t>1. Insert 'Vote'; e.g. Department, if different to standard structure</t>
  </si>
  <si>
    <t>2. Must reconcile to Financial Performance ('Revenue and Expenditure by Standard Classification' and 'Revenue and Expenditure')</t>
  </si>
  <si>
    <t>LIM332 Greater Letaba - Table B3 Adjustments Budget Financial Performance (revenue and expenditure by municipal vote) - B - 19/06/2020</t>
  </si>
  <si>
    <t>Prior Adjusted</t>
  </si>
  <si>
    <t>Accum. Funds</t>
  </si>
  <si>
    <t>Multi-year capital</t>
  </si>
  <si>
    <t>Unfore. Unavoid.</t>
  </si>
  <si>
    <t>Nat. or Prov. Govt</t>
  </si>
  <si>
    <t>Other Adjusts.</t>
  </si>
  <si>
    <t>Total Adjusts.</t>
  </si>
  <si>
    <t>Vote Description</t>
  </si>
  <si>
    <t>Surplus/(Deficit) before taxation</t>
  </si>
  <si>
    <t>Surplus/ (Deficit) for the year</t>
  </si>
  <si>
    <t>2. Detail to be provided in Table SB1</t>
  </si>
  <si>
    <t>3. Only complete if a previous adjusted budget has been approved in the same financial year. Reflect most recent adjusted budget.</t>
  </si>
  <si>
    <t>4. Additional cash-backed accumulated funds/unspent funds (MFMA section 18(1)(b) and section 28(2)(e)) identified after the Original Budget approved and after annual financial statements audited (note: only where underspending could not reasonably have been foreseen)</t>
  </si>
  <si>
    <t>5. Increases of funds approved under MFMA section 31</t>
  </si>
  <si>
    <t xml:space="preserve">6. Adjustments approved in accordance with MFMA section 29 </t>
  </si>
  <si>
    <t>7. Adjustments to transfers from National or Provincial Government</t>
  </si>
  <si>
    <t>8. Adjusts. = 'Other' Adjustments proposed to be approved; including revenue under-collection (MFMA section 28(2)(a)); additional revenue appropriation on existing programmes (section 28(2))(b); projected savings (section 28(2)(d)); error correction (section 28(2)(f))</t>
  </si>
  <si>
    <t>9. G = B + C + D + E + F</t>
  </si>
  <si>
    <t>10. Adjusted Budget H = (A or A1/2 etc) + G</t>
  </si>
  <si>
    <t>Revenue total</t>
  </si>
  <si>
    <t>Description</t>
  </si>
  <si>
    <t>LIM332 Greater Letaba - Table B4 Adjustments Budget Financial Performance (revenue and expenditure) - 19/06/2020</t>
  </si>
  <si>
    <t>Ref</t>
  </si>
  <si>
    <t>Budget Year +1 2020/21</t>
  </si>
  <si>
    <t>Budget Year +2 2021/22</t>
  </si>
  <si>
    <t>Budget Year 2019/20</t>
  </si>
  <si>
    <t>Capital expenditure - Municipal Vote</t>
  </si>
  <si>
    <t>Multi-year expenditure appropriation</t>
  </si>
  <si>
    <t>Single-year expenditure appropriation</t>
  </si>
  <si>
    <t>LIM332 Greater Letaba - Table B5 Adjustments Capital Expenditure Budget by vote and funding - B - 19/06/2020</t>
  </si>
  <si>
    <t>Full year budget</t>
  </si>
  <si>
    <t>Surplus/ (Deficit)</t>
  </si>
  <si>
    <t>1. Surplus (Deficit) must reconcile with budget table A2 and monthly budget statement table C2</t>
  </si>
  <si>
    <t>Outcome</t>
  </si>
  <si>
    <t>LIM332 Greater Letaba - Supporting Table SB12 Adjustments Budget - monthly revenue and expenditure (municipal vote) - 19/06/2020</t>
  </si>
  <si>
    <t>Revenue - Functional</t>
  </si>
  <si>
    <t>Total Revenue - Functional</t>
  </si>
  <si>
    <t>Expenditure - Functional</t>
  </si>
  <si>
    <t>Total Expenditure - Functional</t>
  </si>
  <si>
    <t>Surplus/ (Deficit) 1.</t>
  </si>
  <si>
    <t>1. Surplus (Deficit) must reconcile with budget table A3 and monthly budget statement table C3</t>
  </si>
  <si>
    <t>Service charges - refuse</t>
  </si>
  <si>
    <t>Total Revenue</t>
  </si>
  <si>
    <t>Grants and subsidies</t>
  </si>
  <si>
    <t>1. Surplus (Deficit) must reconcile with budget table A4 and monthly budget statement table C4</t>
  </si>
  <si>
    <t>LIM332 Greater Letaba - Supporting Table SB14 Adjustments Budget - monthly revenue and expenditure - 19/06/2020</t>
  </si>
  <si>
    <t>LIST OF PROJECTS REMOVED DURING BUDGETB ADJUSTMENTS FOR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</si>
</sst>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quot;* #,##0.00_);_(&quot;$&quot;* \(#,##0.00\);_(&quot;$&quot;* &quot;-&quot;??_);_(@_)"/>
    <numFmt numFmtId="165" formatCode="_(* #,##0.00_);_(* \(#,##0.00\);_(* &quot;-&quot;??_);_(@_)"/>
    <numFmt numFmtId="166" formatCode="_ * #,##0.00_ ;_ * \-#,##0.00_ ;_ * &quot;-&quot;??_ ;_ @_ "/>
    <numFmt numFmtId="167" formatCode="0;[Red]0"/>
    <numFmt numFmtId="168" formatCode="_(* #,##0,_);_(* \(#,##0,\);_(* &quot;–&quot;?_);_(@_)"/>
    <numFmt numFmtId="169" formatCode="#,###,;\(#,###,\)"/>
    <numFmt numFmtId="170" formatCode="_ * #,##0_ ;_ * \-#,##0_ ;_ * &quot;-&quot;??_ ;_ @_ "/>
    <numFmt numFmtId="171" formatCode="0.0%"/>
    <numFmt numFmtId="172" formatCode="_ * #,##0.0_ ;_ * \-#,##0.0_ ;_ * &quot;-&quot;??_ ;_ @_ "/>
  </numFmts>
  <fonts count="6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8"/>
      <name val="Aharoni"/>
    </font>
    <font>
      <sz val="10"/>
      <name val="Arial"/>
      <family val="2"/>
    </font>
    <font>
      <b/>
      <sz val="10"/>
      <name val="Arial"/>
      <family val="2"/>
    </font>
    <font>
      <sz val="8"/>
      <name val="Arial"/>
      <family val="2"/>
    </font>
    <font>
      <sz val="10"/>
      <color rgb="FF000000"/>
      <name val="Arial"/>
      <family val="2"/>
    </font>
    <font>
      <sz val="10"/>
      <color theme="1"/>
      <name val="Arial"/>
      <family val="2"/>
    </font>
    <font>
      <sz val="10"/>
      <color theme="1"/>
      <name val="Calibri"/>
      <family val="2"/>
      <scheme val="minor"/>
    </font>
    <font>
      <b/>
      <sz val="10"/>
      <color theme="1"/>
      <name val="Calibri"/>
      <family val="2"/>
      <scheme val="minor"/>
    </font>
    <font>
      <b/>
      <sz val="10"/>
      <color theme="1"/>
      <name val="Calibri"/>
      <family val="2"/>
    </font>
    <font>
      <b/>
      <u/>
      <sz val="9"/>
      <color rgb="FF000000"/>
      <name val="Arial"/>
      <family val="2"/>
    </font>
    <font>
      <b/>
      <sz val="8"/>
      <color rgb="FF000000"/>
      <name val="Arial"/>
      <family val="2"/>
    </font>
    <font>
      <sz val="8"/>
      <color rgb="FF000000"/>
      <name val="Arial"/>
      <family val="2"/>
    </font>
    <font>
      <b/>
      <sz val="14"/>
      <color indexed="8"/>
      <name val="Calibri"/>
      <family val="2"/>
    </font>
    <font>
      <sz val="10"/>
      <color indexed="8"/>
      <name val="Calibri"/>
      <family val="2"/>
    </font>
    <font>
      <sz val="10"/>
      <name val="Calibri"/>
      <family val="2"/>
      <scheme val="minor"/>
    </font>
    <font>
      <b/>
      <sz val="16"/>
      <color theme="1"/>
      <name val="Calibri"/>
      <family val="2"/>
      <scheme val="minor"/>
    </font>
    <font>
      <b/>
      <sz val="10"/>
      <color theme="1"/>
      <name val="Arial Narrow"/>
      <family val="2"/>
    </font>
    <font>
      <sz val="12"/>
      <color theme="1"/>
      <name val="Calibri"/>
      <family val="2"/>
      <scheme val="minor"/>
    </font>
    <font>
      <sz val="10"/>
      <color theme="1"/>
      <name val="Arial Narrow"/>
      <family val="2"/>
    </font>
    <font>
      <sz val="10"/>
      <color rgb="FF002060"/>
      <name val="Calibri"/>
      <family val="2"/>
      <scheme val="minor"/>
    </font>
    <font>
      <sz val="11"/>
      <color theme="1"/>
      <name val="Arial Narrow"/>
      <family val="2"/>
    </font>
    <font>
      <b/>
      <sz val="10"/>
      <name val="Arial Narrow"/>
      <family val="2"/>
    </font>
    <font>
      <sz val="8"/>
      <name val="Arial Narrow"/>
      <family val="2"/>
    </font>
    <font>
      <b/>
      <sz val="8"/>
      <name val="Arial Narrow"/>
      <family val="2"/>
    </font>
    <font>
      <i/>
      <sz val="8"/>
      <name val="Arial Narrow"/>
      <family val="2"/>
    </font>
    <font>
      <b/>
      <u/>
      <sz val="8"/>
      <name val="Arial Narrow"/>
      <family val="2"/>
    </font>
    <font>
      <i/>
      <u/>
      <sz val="8"/>
      <name val="Arial Narrow"/>
      <family val="2"/>
    </font>
    <font>
      <u/>
      <sz val="8"/>
      <name val="Arial Narrow"/>
      <family val="2"/>
    </font>
    <font>
      <b/>
      <i/>
      <sz val="8"/>
      <name val="Arial Narrow"/>
      <family val="2"/>
    </font>
    <font>
      <b/>
      <sz val="10"/>
      <name val="Calibri"/>
      <family val="2"/>
    </font>
    <font>
      <b/>
      <sz val="10"/>
      <color rgb="FF000000"/>
      <name val="Calibri"/>
      <family val="2"/>
      <scheme val="minor"/>
    </font>
    <font>
      <b/>
      <u/>
      <sz val="10"/>
      <color rgb="FF000000"/>
      <name val="Calibri"/>
      <family val="2"/>
      <scheme val="minor"/>
    </font>
    <font>
      <sz val="10"/>
      <color rgb="FF000000"/>
      <name val="Calibri"/>
      <family val="2"/>
      <scheme val="minor"/>
    </font>
    <font>
      <sz val="10"/>
      <name val="Arial Narrow"/>
      <family val="2"/>
    </font>
    <font>
      <b/>
      <sz val="8"/>
      <name val="Arial"/>
      <family val="2"/>
    </font>
    <font>
      <b/>
      <sz val="8"/>
      <color theme="1"/>
      <name val="Arial"/>
      <family val="2"/>
    </font>
    <font>
      <sz val="8"/>
      <color theme="1"/>
      <name val="Calibri"/>
      <family val="2"/>
      <scheme val="minor"/>
    </font>
    <font>
      <b/>
      <u/>
      <sz val="8"/>
      <color rgb="FF000000"/>
      <name val="Arial"/>
      <family val="2"/>
    </font>
    <font>
      <sz val="8"/>
      <color theme="1"/>
      <name val="Arial"/>
      <family val="2"/>
    </font>
    <font>
      <sz val="8"/>
      <name val="Calibri"/>
      <family val="2"/>
      <scheme val="minor"/>
    </font>
    <font>
      <b/>
      <sz val="8"/>
      <color theme="1"/>
      <name val="Calibri"/>
      <family val="2"/>
      <scheme val="minor"/>
    </font>
    <font>
      <b/>
      <sz val="8"/>
      <color theme="1"/>
      <name val="Calibri"/>
      <family val="2"/>
    </font>
    <font>
      <b/>
      <sz val="10"/>
      <color rgb="FF000000"/>
      <name val="Arial"/>
      <family val="2"/>
    </font>
    <font>
      <b/>
      <u/>
      <sz val="10"/>
      <color rgb="FF000000"/>
      <name val="Arial"/>
      <family val="2"/>
    </font>
    <font>
      <b/>
      <sz val="10"/>
      <color theme="1"/>
      <name val="Arial"/>
      <family val="2"/>
    </font>
    <font>
      <sz val="18"/>
      <color theme="1"/>
      <name val="Calibri"/>
      <family val="2"/>
      <scheme val="minor"/>
    </font>
    <font>
      <b/>
      <sz val="18"/>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7"/>
        <bgColor indexed="10"/>
      </patternFill>
    </fill>
    <fill>
      <patternFill patternType="solid">
        <fgColor theme="0"/>
        <bgColor indexed="64"/>
      </patternFill>
    </fill>
    <fill>
      <patternFill patternType="solid">
        <fgColor theme="3" tint="0.39997558519241921"/>
        <bgColor indexed="64"/>
      </patternFill>
    </fill>
    <fill>
      <patternFill patternType="solid">
        <fgColor indexed="5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43"/>
        <bgColor indexed="64"/>
      </patternFill>
    </fill>
    <fill>
      <patternFill patternType="solid">
        <fgColor indexed="41"/>
        <bgColor indexed="64"/>
      </patternFill>
    </fill>
    <fill>
      <patternFill patternType="solid">
        <fgColor theme="4" tint="0.79998168889431442"/>
        <bgColor indexed="64"/>
      </patternFill>
    </fill>
  </fills>
  <borders count="10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bottom style="double">
        <color auto="1"/>
      </bottom>
      <diagonal/>
    </border>
    <border>
      <left style="double">
        <color indexed="64"/>
      </left>
      <right/>
      <top/>
      <bottom style="double">
        <color indexed="64"/>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diagonal/>
    </border>
    <border>
      <left/>
      <right style="double">
        <color auto="1"/>
      </right>
      <top/>
      <bottom style="double">
        <color auto="1"/>
      </bottom>
      <diagonal/>
    </border>
    <border>
      <left style="double">
        <color auto="1"/>
      </left>
      <right/>
      <top style="double">
        <color indexed="64"/>
      </top>
      <bottom/>
      <diagonal/>
    </border>
    <border>
      <left/>
      <right style="double">
        <color auto="1"/>
      </right>
      <top/>
      <bottom/>
      <diagonal/>
    </border>
    <border>
      <left style="double">
        <color rgb="FF0D0D0D"/>
      </left>
      <right/>
      <top style="double">
        <color rgb="FF0D0D0D"/>
      </top>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style="double">
        <color rgb="FF0D0D0D"/>
      </left>
      <right/>
      <top/>
      <bottom style="double">
        <color rgb="FF0D0D0D"/>
      </bottom>
      <diagonal/>
    </border>
    <border>
      <left/>
      <right/>
      <top/>
      <bottom style="double">
        <color rgb="FF0D0D0D"/>
      </bottom>
      <diagonal/>
    </border>
    <border>
      <left/>
      <right style="double">
        <color rgb="FF0D0D0D"/>
      </right>
      <top/>
      <bottom style="double">
        <color rgb="FF0D0D0D"/>
      </bottom>
      <diagonal/>
    </border>
    <border>
      <left style="double">
        <color rgb="FF0D0D0D"/>
      </left>
      <right style="double">
        <color rgb="FF0D0D0D"/>
      </right>
      <top style="double">
        <color rgb="FF0D0D0D"/>
      </top>
      <bottom style="double">
        <color rgb="FF0D0D0D"/>
      </bottom>
      <diagonal/>
    </border>
    <border>
      <left style="double">
        <color rgb="FF0D0D0D"/>
      </left>
      <right style="double">
        <color rgb="FF0D0D0D"/>
      </right>
      <top/>
      <bottom style="double">
        <color rgb="FF0D0D0D"/>
      </bottom>
      <diagonal/>
    </border>
    <border>
      <left style="thin">
        <color indexed="64"/>
      </left>
      <right style="thin">
        <color indexed="64"/>
      </right>
      <top/>
      <bottom style="thin">
        <color indexed="64"/>
      </bottom>
      <diagonal/>
    </border>
    <border>
      <left/>
      <right/>
      <top style="double">
        <color indexed="64"/>
      </top>
      <bottom style="double">
        <color rgb="FF0D0D0D"/>
      </bottom>
      <diagonal/>
    </border>
    <border>
      <left/>
      <right style="double">
        <color indexed="64"/>
      </right>
      <top style="double">
        <color indexed="64"/>
      </top>
      <bottom style="double">
        <color rgb="FF0D0D0D"/>
      </bottom>
      <diagonal/>
    </border>
    <border>
      <left style="double">
        <color indexed="64"/>
      </left>
      <right style="double">
        <color auto="1"/>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auto="1"/>
      </right>
      <top style="double">
        <color indexed="64"/>
      </top>
      <bottom/>
      <diagonal/>
    </border>
    <border>
      <left style="double">
        <color indexed="64"/>
      </left>
      <right style="double">
        <color indexed="64"/>
      </right>
      <top style="double">
        <color indexed="64"/>
      </top>
      <bottom/>
      <diagonal/>
    </border>
    <border>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theme="2" tint="-0.499984740745262"/>
      </left>
      <right style="double">
        <color theme="2" tint="-0.499984740745262"/>
      </right>
      <top style="double">
        <color theme="2" tint="-0.499984740745262"/>
      </top>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1" tint="0.34998626667073579"/>
      </left>
      <right style="double">
        <color theme="1" tint="0.34998626667073579"/>
      </right>
      <top/>
      <bottom style="double">
        <color theme="1" tint="0.34998626667073579"/>
      </bottom>
      <diagonal/>
    </border>
    <border>
      <left style="double">
        <color rgb="FF0D0D0D"/>
      </left>
      <right style="double">
        <color rgb="FF0D0D0D"/>
      </right>
      <top/>
      <bottom/>
      <diagonal/>
    </border>
    <border>
      <left style="double">
        <color auto="1"/>
      </left>
      <right style="double">
        <color rgb="FF0D0D0D"/>
      </right>
      <top style="double">
        <color auto="1"/>
      </top>
      <bottom style="double">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top/>
      <bottom/>
      <diagonal/>
    </border>
    <border>
      <left style="double">
        <color indexed="23"/>
      </left>
      <right style="double">
        <color indexed="23"/>
      </right>
      <top style="double">
        <color indexed="23"/>
      </top>
      <bottom style="double">
        <color indexed="23"/>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top style="thin">
        <color indexed="64"/>
      </top>
      <bottom/>
      <diagonal/>
    </border>
    <border>
      <left style="double">
        <color auto="1"/>
      </left>
      <right/>
      <top style="double">
        <color indexed="64"/>
      </top>
      <bottom/>
      <diagonal/>
    </border>
    <border>
      <left/>
      <right/>
      <top style="double">
        <color auto="1"/>
      </top>
      <bottom/>
      <diagonal/>
    </border>
    <border>
      <left/>
      <right style="double">
        <color auto="1"/>
      </right>
      <top style="double">
        <color auto="1"/>
      </top>
      <bottom/>
      <diagonal/>
    </border>
    <border>
      <left style="double">
        <color indexed="23"/>
      </left>
      <right style="double">
        <color indexed="23"/>
      </right>
      <top style="double">
        <color indexed="23"/>
      </top>
      <bottom style="double">
        <color indexed="23"/>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top style="hair">
        <color indexed="64"/>
      </top>
      <bottom style="thin">
        <color indexed="64"/>
      </bottom>
      <diagonal/>
    </border>
    <border>
      <left style="double">
        <color indexed="64"/>
      </left>
      <right style="double">
        <color auto="1"/>
      </right>
      <top style="double">
        <color indexed="64"/>
      </top>
      <bottom style="double">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24">
    <xf numFmtId="0" fontId="0" fillId="0" borderId="0"/>
    <xf numFmtId="166"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166" fontId="19" fillId="0" borderId="0" applyFont="0" applyFill="0" applyBorder="0" applyAlignment="0" applyProtection="0"/>
    <xf numFmtId="165" fontId="20" fillId="0" borderId="0" applyFont="0" applyFill="0" applyBorder="0" applyAlignment="0" applyProtection="0"/>
    <xf numFmtId="0"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cellStyleXfs>
  <cellXfs count="623">
    <xf numFmtId="0" fontId="0" fillId="0" borderId="0" xfId="0"/>
    <xf numFmtId="0" fontId="0" fillId="0" borderId="0" xfId="0"/>
    <xf numFmtId="0" fontId="25" fillId="34" borderId="17" xfId="0" applyFont="1" applyFill="1" applyBorder="1" applyAlignment="1">
      <alignment vertical="top" wrapText="1"/>
    </xf>
    <xf numFmtId="0" fontId="25" fillId="0" borderId="0" xfId="0" applyFont="1"/>
    <xf numFmtId="0" fontId="30" fillId="0" borderId="31" xfId="0" applyFont="1" applyBorder="1" applyAlignment="1">
      <alignment horizontal="center" vertical="top" wrapText="1"/>
    </xf>
    <xf numFmtId="0" fontId="22" fillId="0" borderId="31" xfId="0" applyFont="1" applyBorder="1" applyAlignment="1">
      <alignment vertical="top" wrapText="1"/>
    </xf>
    <xf numFmtId="0" fontId="30" fillId="0" borderId="31" xfId="0" applyFont="1" applyBorder="1" applyAlignment="1">
      <alignment vertical="top" wrapText="1"/>
    </xf>
    <xf numFmtId="0" fontId="22" fillId="34" borderId="31" xfId="0" applyFont="1" applyFill="1" applyBorder="1" applyAlignment="1">
      <alignment vertical="top" wrapText="1"/>
    </xf>
    <xf numFmtId="0" fontId="30" fillId="34" borderId="31" xfId="0" applyFont="1" applyFill="1" applyBorder="1" applyAlignment="1">
      <alignment vertical="top" wrapText="1"/>
    </xf>
    <xf numFmtId="0" fontId="22" fillId="34" borderId="31" xfId="0" applyFont="1" applyFill="1" applyBorder="1" applyAlignment="1">
      <alignment horizontal="left" vertical="top" wrapText="1"/>
    </xf>
    <xf numFmtId="0" fontId="22" fillId="34" borderId="31" xfId="0" applyFont="1" applyFill="1" applyBorder="1" applyAlignment="1">
      <alignment horizontal="center" vertical="top" wrapText="1"/>
    </xf>
    <xf numFmtId="0" fontId="30" fillId="34" borderId="31" xfId="0" applyFont="1" applyFill="1" applyBorder="1" applyAlignment="1">
      <alignment horizontal="center" vertical="top" wrapText="1"/>
    </xf>
    <xf numFmtId="0" fontId="0" fillId="35" borderId="0" xfId="0" applyFill="1"/>
    <xf numFmtId="0" fontId="35" fillId="38" borderId="40" xfId="0" applyFont="1" applyFill="1" applyBorder="1" applyAlignment="1">
      <alignment vertical="top"/>
    </xf>
    <xf numFmtId="0" fontId="0" fillId="38" borderId="40" xfId="0" applyFont="1" applyFill="1" applyBorder="1" applyAlignment="1">
      <alignment vertical="top" wrapText="1"/>
    </xf>
    <xf numFmtId="0" fontId="35" fillId="38" borderId="14" xfId="0" applyFont="1" applyFill="1" applyBorder="1" applyAlignment="1">
      <alignment horizontal="left" vertical="top" wrapText="1"/>
    </xf>
    <xf numFmtId="0" fontId="0" fillId="38" borderId="14" xfId="0" applyFill="1" applyBorder="1" applyAlignment="1">
      <alignment vertical="top" wrapText="1"/>
    </xf>
    <xf numFmtId="0" fontId="16" fillId="38" borderId="43" xfId="0" applyFont="1" applyFill="1" applyBorder="1" applyAlignment="1">
      <alignment vertical="top"/>
    </xf>
    <xf numFmtId="0" fontId="0" fillId="38" borderId="43" xfId="0" applyFill="1" applyBorder="1" applyAlignment="1">
      <alignment vertical="top" wrapText="1"/>
    </xf>
    <xf numFmtId="0" fontId="37" fillId="39" borderId="44" xfId="0" applyFont="1" applyFill="1" applyBorder="1" applyAlignment="1">
      <alignment vertical="top"/>
    </xf>
    <xf numFmtId="0" fontId="37" fillId="40" borderId="44" xfId="0" applyFont="1" applyFill="1" applyBorder="1" applyAlignment="1">
      <alignment vertical="top" wrapText="1"/>
    </xf>
    <xf numFmtId="0" fontId="0" fillId="0" borderId="0" xfId="0" applyFont="1"/>
    <xf numFmtId="0" fontId="37" fillId="39" borderId="45" xfId="0" applyFont="1" applyFill="1" applyBorder="1" applyAlignment="1">
      <alignment vertical="top"/>
    </xf>
    <xf numFmtId="0" fontId="37" fillId="40" borderId="45" xfId="0" applyFont="1" applyFill="1" applyBorder="1" applyAlignment="1">
      <alignment vertical="top" wrapText="1"/>
    </xf>
    <xf numFmtId="0" fontId="37" fillId="39" borderId="46" xfId="0" applyFont="1" applyFill="1" applyBorder="1" applyAlignment="1">
      <alignment vertical="top"/>
    </xf>
    <xf numFmtId="0" fontId="37" fillId="40" borderId="46" xfId="0" applyFont="1" applyFill="1" applyBorder="1" applyAlignment="1">
      <alignment vertical="top" wrapText="1"/>
    </xf>
    <xf numFmtId="0" fontId="37" fillId="40" borderId="48" xfId="0" applyFont="1" applyFill="1" applyBorder="1" applyAlignment="1">
      <alignment vertical="top" wrapText="1"/>
    </xf>
    <xf numFmtId="0" fontId="38" fillId="39" borderId="49" xfId="0" applyFont="1" applyFill="1" applyBorder="1" applyAlignment="1">
      <alignment horizontal="left" vertical="top" wrapText="1"/>
    </xf>
    <xf numFmtId="0" fontId="33" fillId="40" borderId="49" xfId="0" applyFont="1" applyFill="1" applyBorder="1" applyAlignment="1">
      <alignment vertical="top" wrapText="1"/>
    </xf>
    <xf numFmtId="0" fontId="39" fillId="40" borderId="47" xfId="0" applyFont="1" applyFill="1" applyBorder="1" applyAlignment="1">
      <alignment vertical="top" wrapText="1"/>
    </xf>
    <xf numFmtId="0" fontId="37" fillId="40" borderId="47" xfId="0" applyFont="1" applyFill="1" applyBorder="1" applyAlignment="1">
      <alignment horizontal="justify" vertical="top"/>
    </xf>
    <xf numFmtId="0" fontId="39" fillId="40" borderId="47" xfId="0" applyFont="1" applyFill="1" applyBorder="1"/>
    <xf numFmtId="0" fontId="35" fillId="40" borderId="47" xfId="0" applyFont="1" applyFill="1" applyBorder="1" applyAlignment="1">
      <alignment vertical="top" wrapText="1"/>
    </xf>
    <xf numFmtId="0" fontId="39" fillId="39" borderId="0" xfId="0" applyFont="1" applyFill="1"/>
    <xf numFmtId="0" fontId="39" fillId="40" borderId="45" xfId="0" applyFont="1" applyFill="1" applyBorder="1"/>
    <xf numFmtId="0" fontId="39" fillId="40" borderId="46" xfId="0" applyFont="1" applyFill="1" applyBorder="1"/>
    <xf numFmtId="0" fontId="39" fillId="40" borderId="0" xfId="0" applyFont="1" applyFill="1"/>
    <xf numFmtId="0" fontId="25" fillId="34" borderId="43" xfId="0" applyFont="1" applyFill="1" applyBorder="1" applyAlignment="1">
      <alignment vertical="top" wrapText="1"/>
    </xf>
    <xf numFmtId="0" fontId="0" fillId="34" borderId="0" xfId="0" applyFill="1"/>
    <xf numFmtId="0" fontId="25" fillId="34" borderId="0" xfId="0" applyFont="1" applyFill="1"/>
    <xf numFmtId="0" fontId="33" fillId="34" borderId="43" xfId="0" applyFont="1" applyFill="1" applyBorder="1" applyAlignment="1">
      <alignment vertical="top" wrapText="1"/>
    </xf>
    <xf numFmtId="0" fontId="20" fillId="34" borderId="10" xfId="0" applyFont="1" applyFill="1" applyBorder="1" applyAlignment="1">
      <alignment vertical="top" wrapText="1"/>
    </xf>
    <xf numFmtId="0" fontId="39" fillId="39" borderId="47" xfId="0" applyFont="1" applyFill="1" applyBorder="1" applyAlignment="1">
      <alignment horizontal="left" vertical="top" wrapText="1"/>
    </xf>
    <xf numFmtId="0" fontId="29" fillId="41" borderId="31" xfId="0" applyFont="1" applyFill="1" applyBorder="1" applyAlignment="1">
      <alignment horizontal="center" vertical="top" wrapText="1"/>
    </xf>
    <xf numFmtId="0" fontId="29" fillId="41" borderId="31" xfId="0" applyFont="1" applyFill="1" applyBorder="1" applyAlignment="1">
      <alignment vertical="top" wrapText="1"/>
    </xf>
    <xf numFmtId="4" fontId="29" fillId="41" borderId="31" xfId="0" applyNumberFormat="1" applyFont="1" applyFill="1" applyBorder="1" applyAlignment="1">
      <alignment horizontal="center" vertical="top" wrapText="1"/>
    </xf>
    <xf numFmtId="0" fontId="41" fillId="0" borderId="0" xfId="0" applyFont="1"/>
    <xf numFmtId="0" fontId="41" fillId="0" borderId="0" xfId="0" applyFont="1" applyAlignment="1">
      <alignment horizontal="center"/>
    </xf>
    <xf numFmtId="0" fontId="42" fillId="0" borderId="63" xfId="0" applyFont="1" applyFill="1" applyBorder="1" applyAlignment="1">
      <alignment horizontal="left" vertical="center"/>
    </xf>
    <xf numFmtId="0" fontId="41" fillId="0" borderId="64" xfId="0" applyFont="1" applyFill="1" applyBorder="1" applyAlignment="1">
      <alignment horizontal="center" vertical="center"/>
    </xf>
    <xf numFmtId="168" fontId="42" fillId="0" borderId="67" xfId="0" applyNumberFormat="1" applyFont="1" applyBorder="1" applyAlignment="1">
      <alignment horizontal="right"/>
    </xf>
    <xf numFmtId="168" fontId="42" fillId="0" borderId="61" xfId="0" applyNumberFormat="1" applyFont="1" applyBorder="1" applyAlignment="1">
      <alignment horizontal="right"/>
    </xf>
    <xf numFmtId="168" fontId="41" fillId="0" borderId="61" xfId="0" applyNumberFormat="1" applyFont="1" applyBorder="1"/>
    <xf numFmtId="168" fontId="41" fillId="42" borderId="61" xfId="0" applyNumberFormat="1" applyFont="1" applyFill="1" applyBorder="1" applyProtection="1">
      <protection locked="0"/>
    </xf>
    <xf numFmtId="168" fontId="41" fillId="40" borderId="67" xfId="0" applyNumberFormat="1" applyFont="1" applyFill="1" applyBorder="1" applyProtection="1">
      <protection locked="0"/>
    </xf>
    <xf numFmtId="168" fontId="41" fillId="42" borderId="67" xfId="0" applyNumberFormat="1" applyFont="1" applyFill="1" applyBorder="1" applyProtection="1">
      <protection locked="0"/>
    </xf>
    <xf numFmtId="0" fontId="42" fillId="0" borderId="56" xfId="0" applyFont="1" applyBorder="1" applyAlignment="1">
      <alignment horizontal="left"/>
    </xf>
    <xf numFmtId="168" fontId="42" fillId="0" borderId="70" xfId="0" applyNumberFormat="1" applyFont="1" applyBorder="1"/>
    <xf numFmtId="168" fontId="42" fillId="0" borderId="58" xfId="0" applyNumberFormat="1" applyFont="1" applyBorder="1"/>
    <xf numFmtId="168" fontId="42" fillId="0" borderId="59" xfId="0" applyNumberFormat="1" applyFont="1" applyBorder="1"/>
    <xf numFmtId="0" fontId="41" fillId="0" borderId="56" xfId="0" applyFont="1" applyBorder="1"/>
    <xf numFmtId="168" fontId="42" fillId="0" borderId="61" xfId="0" applyNumberFormat="1" applyFont="1" applyBorder="1"/>
    <xf numFmtId="168" fontId="42" fillId="0" borderId="75" xfId="0" applyNumberFormat="1" applyFont="1" applyBorder="1"/>
    <xf numFmtId="169" fontId="42" fillId="0" borderId="0" xfId="0" applyNumberFormat="1" applyFont="1" applyFill="1" applyBorder="1" applyProtection="1">
      <protection locked="0"/>
    </xf>
    <xf numFmtId="168" fontId="41" fillId="0" borderId="62" xfId="0" applyNumberFormat="1" applyFont="1" applyBorder="1"/>
    <xf numFmtId="0" fontId="41" fillId="0" borderId="0" xfId="0" applyFont="1" applyFill="1"/>
    <xf numFmtId="0" fontId="41" fillId="0" borderId="56" xfId="0" applyFont="1" applyBorder="1" applyAlignment="1">
      <alignment horizontal="left" indent="1"/>
    </xf>
    <xf numFmtId="168" fontId="41" fillId="40" borderId="61" xfId="0" applyNumberFormat="1" applyFont="1" applyFill="1" applyBorder="1" applyProtection="1">
      <protection locked="0"/>
    </xf>
    <xf numFmtId="168" fontId="41" fillId="40" borderId="60" xfId="0" applyNumberFormat="1" applyFont="1" applyFill="1" applyBorder="1" applyProtection="1">
      <protection locked="0"/>
    </xf>
    <xf numFmtId="0" fontId="42" fillId="0" borderId="57" xfId="0" applyFont="1" applyBorder="1" applyAlignment="1">
      <alignment horizontal="center"/>
    </xf>
    <xf numFmtId="0" fontId="43" fillId="0" borderId="0" xfId="0" applyFont="1" applyBorder="1" applyAlignment="1">
      <alignment horizontal="center"/>
    </xf>
    <xf numFmtId="0" fontId="43" fillId="0" borderId="0" xfId="0" applyFont="1" applyBorder="1"/>
    <xf numFmtId="0" fontId="43" fillId="0" borderId="56" xfId="0" applyFont="1" applyBorder="1" applyAlignment="1">
      <alignment horizontal="right"/>
    </xf>
    <xf numFmtId="168" fontId="41" fillId="0" borderId="67" xfId="0" applyNumberFormat="1" applyFont="1" applyBorder="1"/>
    <xf numFmtId="168" fontId="41" fillId="42" borderId="79" xfId="0" applyNumberFormat="1" applyFont="1" applyFill="1" applyBorder="1" applyProtection="1">
      <protection locked="0"/>
    </xf>
    <xf numFmtId="168" fontId="42" fillId="0" borderId="74" xfId="0" applyNumberFormat="1" applyFont="1" applyBorder="1"/>
    <xf numFmtId="0" fontId="41" fillId="0" borderId="0" xfId="0" applyFont="1" applyBorder="1"/>
    <xf numFmtId="0" fontId="43" fillId="0" borderId="0" xfId="0" applyFont="1" applyAlignment="1">
      <alignment horizontal="right"/>
    </xf>
    <xf numFmtId="168" fontId="42" fillId="0" borderId="58" xfId="0" applyNumberFormat="1" applyFont="1" applyFill="1" applyBorder="1"/>
    <xf numFmtId="0" fontId="31" fillId="36" borderId="80" xfId="0" applyFont="1" applyFill="1" applyBorder="1" applyAlignment="1">
      <alignment horizontal="center" vertical="center"/>
    </xf>
    <xf numFmtId="0" fontId="32" fillId="37" borderId="80" xfId="0" applyFont="1" applyFill="1" applyBorder="1" applyAlignment="1">
      <alignment wrapText="1"/>
    </xf>
    <xf numFmtId="0" fontId="32" fillId="37" borderId="80" xfId="0" applyFont="1" applyFill="1" applyBorder="1" applyAlignment="1">
      <alignment horizontal="left" wrapText="1"/>
    </xf>
    <xf numFmtId="0" fontId="32" fillId="37" borderId="80" xfId="0" applyFont="1" applyFill="1" applyBorder="1" applyAlignment="1">
      <alignment vertical="top" wrapText="1"/>
    </xf>
    <xf numFmtId="0" fontId="32" fillId="37" borderId="80" xfId="0" applyFont="1" applyFill="1" applyBorder="1" applyAlignment="1">
      <alignment horizontal="right"/>
    </xf>
    <xf numFmtId="0" fontId="0" fillId="37" borderId="80" xfId="0" applyFill="1" applyBorder="1" applyAlignment="1">
      <alignment horizontal="left"/>
    </xf>
    <xf numFmtId="0" fontId="0" fillId="0" borderId="0" xfId="0"/>
    <xf numFmtId="0" fontId="0" fillId="0" borderId="0" xfId="0"/>
    <xf numFmtId="9" fontId="30" fillId="34" borderId="31" xfId="0" applyNumberFormat="1" applyFont="1" applyFill="1" applyBorder="1" applyAlignment="1">
      <alignment horizontal="center" vertical="top" wrapText="1"/>
    </xf>
    <xf numFmtId="0" fontId="25" fillId="34" borderId="17" xfId="0" applyFont="1" applyFill="1" applyBorder="1" applyAlignment="1">
      <alignment horizontal="center" vertical="top" wrapText="1"/>
    </xf>
    <xf numFmtId="15" fontId="25" fillId="34" borderId="17" xfId="0" applyNumberFormat="1" applyFont="1" applyFill="1" applyBorder="1" applyAlignment="1">
      <alignment horizontal="center" vertical="top" wrapText="1"/>
    </xf>
    <xf numFmtId="168" fontId="41" fillId="0" borderId="61" xfId="0" applyNumberFormat="1" applyFont="1" applyFill="1" applyBorder="1"/>
    <xf numFmtId="169" fontId="42" fillId="0" borderId="0" xfId="0" applyNumberFormat="1" applyFont="1" applyBorder="1"/>
    <xf numFmtId="169" fontId="41" fillId="0" borderId="0" xfId="0" applyNumberFormat="1" applyFont="1" applyBorder="1"/>
    <xf numFmtId="0" fontId="44" fillId="0" borderId="56" xfId="0" applyFont="1" applyBorder="1"/>
    <xf numFmtId="168" fontId="41" fillId="0" borderId="61" xfId="0" applyNumberFormat="1" applyFont="1" applyFill="1" applyBorder="1" applyProtection="1"/>
    <xf numFmtId="168" fontId="41" fillId="40" borderId="60" xfId="48" applyNumberFormat="1" applyFont="1" applyFill="1" applyBorder="1" applyProtection="1">
      <protection locked="0"/>
    </xf>
    <xf numFmtId="168" fontId="41" fillId="0" borderId="61" xfId="0" applyNumberFormat="1" applyFont="1" applyBorder="1" applyProtection="1"/>
    <xf numFmtId="0" fontId="42" fillId="0" borderId="73" xfId="0" applyFont="1" applyBorder="1"/>
    <xf numFmtId="168" fontId="41" fillId="0" borderId="62" xfId="0" applyNumberFormat="1" applyFont="1" applyBorder="1" applyProtection="1"/>
    <xf numFmtId="0" fontId="37" fillId="39" borderId="47" xfId="0" applyFont="1" applyFill="1" applyBorder="1" applyAlignment="1">
      <alignment horizontal="left" vertical="top"/>
    </xf>
    <xf numFmtId="0" fontId="37" fillId="40" borderId="47" xfId="0" applyFont="1" applyFill="1" applyBorder="1" applyAlignment="1">
      <alignment vertical="top" wrapText="1"/>
    </xf>
    <xf numFmtId="0" fontId="37" fillId="40" borderId="47" xfId="0" applyFont="1" applyFill="1" applyBorder="1" applyAlignment="1">
      <alignment horizontal="justify" vertical="top" wrapText="1"/>
    </xf>
    <xf numFmtId="0" fontId="0" fillId="0" borderId="0" xfId="0"/>
    <xf numFmtId="0" fontId="25" fillId="34" borderId="81" xfId="0" applyFont="1" applyFill="1" applyBorder="1" applyAlignment="1">
      <alignment vertical="top" wrapText="1"/>
    </xf>
    <xf numFmtId="0" fontId="20" fillId="34" borderId="81" xfId="0" applyFont="1" applyFill="1" applyBorder="1" applyAlignment="1">
      <alignment vertical="top" wrapText="1"/>
    </xf>
    <xf numFmtId="0" fontId="26" fillId="34" borderId="81" xfId="0" applyFont="1" applyFill="1" applyBorder="1" applyAlignment="1">
      <alignment vertical="top"/>
    </xf>
    <xf numFmtId="3" fontId="26" fillId="34" borderId="81" xfId="0" applyNumberFormat="1" applyFont="1" applyFill="1" applyBorder="1" applyAlignment="1">
      <alignment vertical="top"/>
    </xf>
    <xf numFmtId="3" fontId="27" fillId="34" borderId="81" xfId="1" applyNumberFormat="1" applyFont="1" applyFill="1" applyBorder="1" applyAlignment="1">
      <alignment vertical="top"/>
    </xf>
    <xf numFmtId="0" fontId="33" fillId="34" borderId="81" xfId="0" applyFont="1" applyFill="1" applyBorder="1" applyAlignment="1">
      <alignment vertical="top" wrapText="1"/>
    </xf>
    <xf numFmtId="0" fontId="23" fillId="34" borderId="82" xfId="0" applyFont="1" applyFill="1" applyBorder="1" applyAlignment="1">
      <alignment vertical="top" wrapText="1"/>
    </xf>
    <xf numFmtId="0" fontId="24" fillId="34" borderId="81" xfId="0" applyFont="1" applyFill="1" applyBorder="1" applyAlignment="1">
      <alignment vertical="top" wrapText="1"/>
    </xf>
    <xf numFmtId="3" fontId="27" fillId="34" borderId="81" xfId="1" applyNumberFormat="1" applyFont="1" applyFill="1" applyBorder="1" applyAlignment="1">
      <alignment horizontal="center" vertical="top"/>
    </xf>
    <xf numFmtId="0" fontId="25" fillId="34" borderId="0" xfId="0" applyFont="1" applyFill="1" applyAlignment="1">
      <alignment vertical="top"/>
    </xf>
    <xf numFmtId="0" fontId="25" fillId="34" borderId="81" xfId="0" applyFont="1" applyFill="1" applyBorder="1" applyAlignment="1">
      <alignment horizontal="left" vertical="top"/>
    </xf>
    <xf numFmtId="0" fontId="25" fillId="34" borderId="81" xfId="0" applyFont="1" applyFill="1" applyBorder="1" applyAlignment="1">
      <alignment horizontal="left" vertical="top" wrapText="1"/>
    </xf>
    <xf numFmtId="0" fontId="26" fillId="34" borderId="81" xfId="0" applyFont="1" applyFill="1" applyBorder="1" applyAlignment="1">
      <alignment horizontal="left" vertical="top"/>
    </xf>
    <xf numFmtId="0" fontId="25" fillId="34" borderId="0" xfId="0" applyFont="1" applyFill="1" applyAlignment="1">
      <alignment wrapText="1"/>
    </xf>
    <xf numFmtId="0" fontId="25" fillId="34" borderId="0" xfId="0" applyFont="1" applyFill="1" applyAlignment="1">
      <alignment horizontal="left" vertical="top"/>
    </xf>
    <xf numFmtId="0" fontId="49" fillId="41" borderId="31" xfId="0" applyFont="1" applyFill="1" applyBorder="1" applyAlignment="1">
      <alignment horizontal="center" vertical="top" wrapText="1"/>
    </xf>
    <xf numFmtId="0" fontId="49" fillId="41" borderId="31" xfId="0" applyFont="1" applyFill="1" applyBorder="1" applyAlignment="1">
      <alignment vertical="top" wrapText="1"/>
    </xf>
    <xf numFmtId="0" fontId="51" fillId="34" borderId="17" xfId="0" applyFont="1" applyFill="1" applyBorder="1" applyAlignment="1">
      <alignment horizontal="center" vertical="top" wrapText="1"/>
    </xf>
    <xf numFmtId="0" fontId="51" fillId="0" borderId="17" xfId="0" applyFont="1" applyBorder="1" applyAlignment="1">
      <alignment vertical="top" wrapText="1"/>
    </xf>
    <xf numFmtId="0" fontId="51" fillId="0" borderId="43" xfId="0" applyFont="1" applyBorder="1" applyAlignment="1">
      <alignment vertical="top" wrapText="1"/>
    </xf>
    <xf numFmtId="9" fontId="51" fillId="0" borderId="17" xfId="0" applyNumberFormat="1" applyFont="1" applyBorder="1" applyAlignment="1">
      <alignment horizontal="center" vertical="top" wrapText="1"/>
    </xf>
    <xf numFmtId="9" fontId="51" fillId="0" borderId="17" xfId="0" applyNumberFormat="1" applyFont="1" applyBorder="1" applyAlignment="1">
      <alignment vertical="top" wrapText="1"/>
    </xf>
    <xf numFmtId="0" fontId="51" fillId="34" borderId="17" xfId="0" applyFont="1" applyFill="1" applyBorder="1" applyAlignment="1">
      <alignment vertical="top" wrapText="1"/>
    </xf>
    <xf numFmtId="0" fontId="33" fillId="34" borderId="17" xfId="0" applyFont="1" applyFill="1" applyBorder="1" applyAlignment="1">
      <alignment vertical="top" wrapText="1"/>
    </xf>
    <xf numFmtId="3" fontId="33" fillId="34" borderId="17" xfId="0" applyNumberFormat="1" applyFont="1" applyFill="1" applyBorder="1" applyAlignment="1">
      <alignment horizontal="center" vertical="top" wrapText="1"/>
    </xf>
    <xf numFmtId="0" fontId="33" fillId="0" borderId="31" xfId="0" applyFont="1" applyBorder="1" applyAlignment="1">
      <alignment vertical="top" wrapText="1"/>
    </xf>
    <xf numFmtId="0" fontId="32" fillId="37" borderId="89" xfId="0" applyFont="1" applyFill="1" applyBorder="1" applyAlignment="1">
      <alignment wrapText="1"/>
    </xf>
    <xf numFmtId="0" fontId="32" fillId="37" borderId="89" xfId="0" applyFont="1" applyFill="1" applyBorder="1" applyAlignment="1">
      <alignment horizontal="left" wrapText="1"/>
    </xf>
    <xf numFmtId="49" fontId="32" fillId="37" borderId="80" xfId="0" applyNumberFormat="1" applyFont="1" applyFill="1" applyBorder="1" applyAlignment="1">
      <alignment horizontal="left" wrapText="1"/>
    </xf>
    <xf numFmtId="0" fontId="32" fillId="37" borderId="89" xfId="0" applyFont="1" applyFill="1" applyBorder="1" applyAlignment="1">
      <alignment vertical="top" wrapText="1"/>
    </xf>
    <xf numFmtId="0" fontId="40" fillId="0" borderId="90" xfId="0" applyFont="1" applyFill="1" applyBorder="1" applyAlignment="1">
      <alignment horizontal="left"/>
    </xf>
    <xf numFmtId="49" fontId="42" fillId="0" borderId="72" xfId="0" applyNumberFormat="1" applyFont="1" applyFill="1" applyBorder="1" applyAlignment="1">
      <alignment horizontal="center" vertical="center" wrapText="1"/>
    </xf>
    <xf numFmtId="49" fontId="42" fillId="0" borderId="71" xfId="0" applyNumberFormat="1" applyFont="1" applyFill="1" applyBorder="1" applyAlignment="1">
      <alignment vertical="center" wrapText="1"/>
    </xf>
    <xf numFmtId="0" fontId="42" fillId="0" borderId="63" xfId="0" applyFont="1" applyFill="1" applyBorder="1" applyAlignment="1">
      <alignment horizontal="center" vertical="center" wrapText="1"/>
    </xf>
    <xf numFmtId="0" fontId="42" fillId="0" borderId="75" xfId="0" applyFont="1" applyFill="1" applyBorder="1" applyAlignment="1">
      <alignment horizontal="center" vertical="center" wrapText="1"/>
    </xf>
    <xf numFmtId="0" fontId="42" fillId="0" borderId="92" xfId="0" applyFont="1" applyFill="1" applyBorder="1" applyAlignment="1">
      <alignment horizontal="center" vertical="center" wrapText="1"/>
    </xf>
    <xf numFmtId="0" fontId="42" fillId="0" borderId="64" xfId="0" applyFont="1" applyFill="1" applyBorder="1" applyAlignment="1">
      <alignment horizontal="center" vertical="center" wrapText="1"/>
    </xf>
    <xf numFmtId="168" fontId="42" fillId="0" borderId="56" xfId="0" applyNumberFormat="1" applyFont="1" applyBorder="1" applyAlignment="1">
      <alignment horizontal="center"/>
    </xf>
    <xf numFmtId="168" fontId="42" fillId="0" borderId="61" xfId="0" applyNumberFormat="1" applyFont="1" applyBorder="1" applyAlignment="1">
      <alignment horizontal="center"/>
    </xf>
    <xf numFmtId="168" fontId="42" fillId="0" borderId="62" xfId="0" applyNumberFormat="1" applyFont="1" applyBorder="1" applyAlignment="1">
      <alignment horizontal="center"/>
    </xf>
    <xf numFmtId="168" fontId="42" fillId="0" borderId="67" xfId="0" applyNumberFormat="1" applyFont="1" applyBorder="1" applyAlignment="1">
      <alignment horizontal="center"/>
    </xf>
    <xf numFmtId="168" fontId="42" fillId="0" borderId="93" xfId="0" applyNumberFormat="1" applyFont="1" applyBorder="1" applyAlignment="1">
      <alignment horizontal="center"/>
    </xf>
    <xf numFmtId="168" fontId="41" fillId="40" borderId="56" xfId="0" applyNumberFormat="1" applyFont="1" applyFill="1" applyBorder="1" applyProtection="1">
      <protection locked="0"/>
    </xf>
    <xf numFmtId="168" fontId="41" fillId="0" borderId="93" xfId="0" applyNumberFormat="1" applyFont="1" applyBorder="1"/>
    <xf numFmtId="168" fontId="41" fillId="0" borderId="93" xfId="0" applyNumberFormat="1" applyFont="1" applyFill="1" applyBorder="1"/>
    <xf numFmtId="168" fontId="42" fillId="0" borderId="78" xfId="0" applyNumberFormat="1" applyFont="1" applyBorder="1"/>
    <xf numFmtId="168" fontId="42" fillId="0" borderId="94" xfId="0" applyNumberFormat="1" applyFont="1" applyBorder="1"/>
    <xf numFmtId="168" fontId="41" fillId="0" borderId="56" xfId="0" applyNumberFormat="1" applyFont="1" applyBorder="1"/>
    <xf numFmtId="168" fontId="41" fillId="40" borderId="56" xfId="48" applyNumberFormat="1" applyFont="1" applyFill="1" applyBorder="1" applyProtection="1">
      <protection locked="0"/>
    </xf>
    <xf numFmtId="0" fontId="42" fillId="0" borderId="73" xfId="0" applyNumberFormat="1" applyFont="1" applyBorder="1" applyAlignment="1">
      <alignment vertical="center" wrapText="1"/>
    </xf>
    <xf numFmtId="168" fontId="42" fillId="0" borderId="73" xfId="0" applyNumberFormat="1" applyFont="1" applyFill="1" applyBorder="1"/>
    <xf numFmtId="168" fontId="42" fillId="0" borderId="75" xfId="0" applyNumberFormat="1" applyFont="1" applyFill="1" applyBorder="1"/>
    <xf numFmtId="168" fontId="42" fillId="0" borderId="76" xfId="0" applyNumberFormat="1" applyFont="1" applyFill="1" applyBorder="1"/>
    <xf numFmtId="168" fontId="42" fillId="0" borderId="74" xfId="0" applyNumberFormat="1" applyFont="1" applyFill="1" applyBorder="1"/>
    <xf numFmtId="168" fontId="42" fillId="0" borderId="95" xfId="0" applyNumberFormat="1" applyFont="1" applyFill="1" applyBorder="1"/>
    <xf numFmtId="0" fontId="45" fillId="0" borderId="0" xfId="0" applyNumberFormat="1" applyFont="1" applyBorder="1" applyAlignment="1" applyProtection="1">
      <alignment vertical="center" wrapText="1"/>
    </xf>
    <xf numFmtId="0" fontId="41" fillId="0" borderId="0" xfId="0" applyFont="1" applyProtection="1">
      <protection locked="0"/>
    </xf>
    <xf numFmtId="170" fontId="43" fillId="0" borderId="0" xfId="48" applyNumberFormat="1" applyFont="1"/>
    <xf numFmtId="0" fontId="52" fillId="0" borderId="0" xfId="0" applyFont="1"/>
    <xf numFmtId="0" fontId="41" fillId="0" borderId="61" xfId="0" applyNumberFormat="1" applyFont="1" applyBorder="1" applyAlignment="1" applyProtection="1">
      <alignment horizontal="center"/>
    </xf>
    <xf numFmtId="168" fontId="41" fillId="40" borderId="62" xfId="0" applyNumberFormat="1" applyFont="1" applyFill="1" applyBorder="1" applyProtection="1">
      <protection locked="0"/>
    </xf>
    <xf numFmtId="168" fontId="41" fillId="40" borderId="93" xfId="0" applyNumberFormat="1" applyFont="1" applyFill="1" applyBorder="1" applyProtection="1">
      <protection locked="0"/>
    </xf>
    <xf numFmtId="168" fontId="41" fillId="40" borderId="0" xfId="0" applyNumberFormat="1" applyFont="1" applyFill="1" applyBorder="1" applyProtection="1">
      <protection locked="0"/>
    </xf>
    <xf numFmtId="168" fontId="42" fillId="0" borderId="93" xfId="0" applyNumberFormat="1" applyFont="1" applyBorder="1"/>
    <xf numFmtId="168" fontId="42" fillId="0" borderId="56" xfId="0" applyNumberFormat="1" applyFont="1" applyBorder="1"/>
    <xf numFmtId="168" fontId="42" fillId="0" borderId="0" xfId="0" applyNumberFormat="1" applyFont="1" applyBorder="1"/>
    <xf numFmtId="168" fontId="42" fillId="0" borderId="67" xfId="0" applyNumberFormat="1" applyFont="1" applyBorder="1"/>
    <xf numFmtId="168" fontId="42" fillId="0" borderId="95" xfId="0" applyNumberFormat="1" applyFont="1" applyBorder="1"/>
    <xf numFmtId="168" fontId="42" fillId="0" borderId="73" xfId="0" applyNumberFormat="1" applyFont="1" applyBorder="1"/>
    <xf numFmtId="168" fontId="42" fillId="0" borderId="98" xfId="0" applyNumberFormat="1" applyFont="1" applyBorder="1"/>
    <xf numFmtId="0" fontId="45" fillId="0" borderId="0" xfId="0" applyFont="1" applyBorder="1" applyProtection="1"/>
    <xf numFmtId="0" fontId="41" fillId="0" borderId="0" xfId="0" applyFont="1" applyAlignment="1" applyProtection="1">
      <alignment horizontal="center"/>
      <protection locked="0"/>
    </xf>
    <xf numFmtId="0" fontId="43" fillId="0" borderId="0" xfId="0" applyFont="1" applyBorder="1" applyAlignment="1" applyProtection="1">
      <alignment horizontal="right"/>
    </xf>
    <xf numFmtId="0" fontId="42" fillId="0" borderId="72" xfId="0" applyFont="1" applyFill="1" applyBorder="1" applyAlignment="1">
      <alignment horizontal="center" vertical="center"/>
    </xf>
    <xf numFmtId="0" fontId="42" fillId="0" borderId="68" xfId="0" applyFont="1" applyFill="1" applyBorder="1" applyAlignment="1">
      <alignment vertical="center"/>
    </xf>
    <xf numFmtId="0" fontId="42" fillId="0" borderId="90" xfId="0" applyFont="1" applyFill="1" applyBorder="1" applyAlignment="1">
      <alignment horizontal="center" vertical="center" wrapText="1"/>
    </xf>
    <xf numFmtId="0" fontId="41" fillId="0" borderId="68" xfId="0" applyFont="1" applyBorder="1" applyAlignment="1">
      <alignment horizontal="center"/>
    </xf>
    <xf numFmtId="0" fontId="42" fillId="0" borderId="68" xfId="0" applyFont="1" applyBorder="1" applyAlignment="1">
      <alignment horizontal="center"/>
    </xf>
    <xf numFmtId="168" fontId="41" fillId="0" borderId="67" xfId="0" applyNumberFormat="1" applyFont="1" applyFill="1" applyBorder="1" applyProtection="1"/>
    <xf numFmtId="168" fontId="41" fillId="0" borderId="0" xfId="0" applyNumberFormat="1" applyFont="1" applyFill="1" applyBorder="1" applyProtection="1"/>
    <xf numFmtId="168" fontId="41" fillId="0" borderId="0" xfId="0" applyNumberFormat="1" applyFont="1" applyBorder="1"/>
    <xf numFmtId="0" fontId="41" fillId="0" borderId="61" xfId="0" applyFont="1" applyBorder="1" applyAlignment="1">
      <alignment horizontal="center"/>
    </xf>
    <xf numFmtId="168" fontId="41" fillId="40" borderId="61" xfId="48" applyNumberFormat="1" applyFont="1" applyFill="1" applyBorder="1" applyProtection="1">
      <protection locked="0"/>
    </xf>
    <xf numFmtId="168" fontId="41" fillId="40" borderId="62" xfId="48" applyNumberFormat="1" applyFont="1" applyFill="1" applyBorder="1" applyProtection="1">
      <protection locked="0"/>
    </xf>
    <xf numFmtId="168" fontId="41" fillId="40" borderId="93" xfId="48" applyNumberFormat="1" applyFont="1" applyFill="1" applyBorder="1" applyProtection="1">
      <protection locked="0"/>
    </xf>
    <xf numFmtId="168" fontId="41" fillId="40" borderId="0" xfId="48" applyNumberFormat="1" applyFont="1" applyFill="1" applyBorder="1" applyProtection="1">
      <protection locked="0"/>
    </xf>
    <xf numFmtId="168" fontId="41" fillId="40" borderId="67" xfId="48" applyNumberFormat="1" applyFont="1" applyFill="1" applyBorder="1" applyProtection="1">
      <protection locked="0"/>
    </xf>
    <xf numFmtId="0" fontId="42" fillId="0" borderId="56" xfId="0" applyNumberFormat="1" applyFont="1" applyBorder="1" applyAlignment="1">
      <alignment wrapText="1"/>
    </xf>
    <xf numFmtId="0" fontId="41" fillId="0" borderId="75" xfId="0" applyFont="1" applyBorder="1" applyAlignment="1">
      <alignment horizontal="center"/>
    </xf>
    <xf numFmtId="0" fontId="45" fillId="0" borderId="0" xfId="0" applyNumberFormat="1" applyFont="1" applyBorder="1" applyProtection="1"/>
    <xf numFmtId="0" fontId="41" fillId="0" borderId="0" xfId="0" applyFont="1" applyBorder="1" applyAlignment="1" applyProtection="1">
      <alignment horizontal="center"/>
    </xf>
    <xf numFmtId="169" fontId="42" fillId="0" borderId="0" xfId="0" applyNumberFormat="1" applyFont="1" applyBorder="1" applyProtection="1"/>
    <xf numFmtId="0" fontId="42" fillId="0" borderId="0" xfId="0" applyFont="1" applyBorder="1" applyProtection="1"/>
    <xf numFmtId="0" fontId="43" fillId="0" borderId="0" xfId="0" applyNumberFormat="1" applyFont="1" applyBorder="1" applyProtection="1"/>
    <xf numFmtId="0" fontId="43" fillId="0" borderId="0" xfId="0" applyFont="1" applyBorder="1" applyAlignment="1" applyProtection="1">
      <alignment horizontal="center"/>
    </xf>
    <xf numFmtId="0" fontId="41" fillId="0" borderId="0" xfId="0" applyFont="1" applyBorder="1" applyProtection="1"/>
    <xf numFmtId="169" fontId="41" fillId="0" borderId="0" xfId="0" applyNumberFormat="1" applyFont="1" applyBorder="1" applyProtection="1"/>
    <xf numFmtId="168" fontId="42" fillId="0" borderId="68" xfId="0" applyNumberFormat="1" applyFont="1" applyBorder="1" applyAlignment="1">
      <alignment horizontal="center"/>
    </xf>
    <xf numFmtId="168" fontId="42" fillId="0" borderId="85" xfId="0" applyNumberFormat="1" applyFont="1" applyBorder="1" applyAlignment="1">
      <alignment horizontal="center"/>
    </xf>
    <xf numFmtId="168" fontId="42" fillId="0" borderId="52" xfId="0" applyNumberFormat="1" applyFont="1" applyBorder="1" applyAlignment="1">
      <alignment horizontal="center"/>
    </xf>
    <xf numFmtId="168" fontId="42" fillId="0" borderId="96" xfId="0" applyNumberFormat="1" applyFont="1" applyBorder="1" applyAlignment="1">
      <alignment horizontal="center"/>
    </xf>
    <xf numFmtId="168" fontId="42" fillId="0" borderId="0" xfId="0" applyNumberFormat="1" applyFont="1" applyBorder="1" applyAlignment="1">
      <alignment horizontal="center"/>
    </xf>
    <xf numFmtId="168" fontId="41" fillId="0" borderId="61" xfId="0" applyNumberFormat="1" applyFont="1" applyBorder="1" applyAlignment="1">
      <alignment horizontal="right"/>
    </xf>
    <xf numFmtId="168" fontId="41" fillId="0" borderId="93" xfId="0" applyNumberFormat="1" applyFont="1" applyBorder="1" applyAlignment="1">
      <alignment horizontal="right"/>
    </xf>
    <xf numFmtId="168" fontId="41" fillId="0" borderId="56" xfId="0" applyNumberFormat="1" applyFont="1" applyBorder="1" applyAlignment="1">
      <alignment horizontal="right"/>
    </xf>
    <xf numFmtId="168" fontId="41" fillId="0" borderId="0" xfId="0" applyNumberFormat="1" applyFont="1" applyFill="1" applyBorder="1" applyAlignment="1">
      <alignment horizontal="right"/>
    </xf>
    <xf numFmtId="168" fontId="41" fillId="0" borderId="0" xfId="0" applyNumberFormat="1" applyFont="1" applyBorder="1" applyAlignment="1">
      <alignment horizontal="right"/>
    </xf>
    <xf numFmtId="168" fontId="41" fillId="0" borderId="56" xfId="48" applyNumberFormat="1" applyFont="1" applyBorder="1" applyAlignment="1">
      <alignment horizontal="right"/>
    </xf>
    <xf numFmtId="168" fontId="41" fillId="0" borderId="93" xfId="48" applyNumberFormat="1" applyFont="1" applyBorder="1" applyAlignment="1">
      <alignment horizontal="right"/>
    </xf>
    <xf numFmtId="168" fontId="42" fillId="0" borderId="58" xfId="0" applyNumberFormat="1" applyFont="1" applyFill="1" applyBorder="1" applyAlignment="1">
      <alignment horizontal="right"/>
    </xf>
    <xf numFmtId="168" fontId="42" fillId="0" borderId="97" xfId="0" applyNumberFormat="1" applyFont="1" applyFill="1" applyBorder="1"/>
    <xf numFmtId="168" fontId="42" fillId="0" borderId="78" xfId="0" applyNumberFormat="1" applyFont="1" applyFill="1" applyBorder="1"/>
    <xf numFmtId="168" fontId="42" fillId="0" borderId="94" xfId="0" applyNumberFormat="1" applyFont="1" applyFill="1" applyBorder="1"/>
    <xf numFmtId="168" fontId="41" fillId="0" borderId="61" xfId="48" applyNumberFormat="1" applyFont="1" applyBorder="1"/>
    <xf numFmtId="168" fontId="41" fillId="0" borderId="61" xfId="0" applyNumberFormat="1" applyFont="1" applyBorder="1" applyAlignment="1">
      <alignment horizontal="center"/>
    </xf>
    <xf numFmtId="168" fontId="41" fillId="0" borderId="67" xfId="0" applyNumberFormat="1" applyFont="1" applyBorder="1" applyAlignment="1">
      <alignment horizontal="right"/>
    </xf>
    <xf numFmtId="168" fontId="41" fillId="0" borderId="62" xfId="0" applyNumberFormat="1" applyFont="1" applyBorder="1" applyAlignment="1">
      <alignment horizontal="right"/>
    </xf>
    <xf numFmtId="0" fontId="47" fillId="0" borderId="56" xfId="0" applyNumberFormat="1" applyFont="1" applyFill="1" applyBorder="1" applyAlignment="1" applyProtection="1">
      <alignment horizontal="left" indent="1"/>
    </xf>
    <xf numFmtId="168" fontId="42" fillId="0" borderId="61" xfId="0" applyNumberFormat="1" applyFont="1" applyFill="1" applyBorder="1" applyProtection="1"/>
    <xf numFmtId="168" fontId="42" fillId="0" borderId="79" xfId="0" applyNumberFormat="1" applyFont="1" applyFill="1" applyBorder="1" applyProtection="1"/>
    <xf numFmtId="168" fontId="42" fillId="0" borderId="67" xfId="0" applyNumberFormat="1" applyFont="1" applyFill="1" applyBorder="1" applyProtection="1"/>
    <xf numFmtId="168" fontId="42" fillId="0" borderId="62" xfId="0" applyNumberFormat="1" applyFont="1" applyFill="1" applyBorder="1" applyProtection="1"/>
    <xf numFmtId="168" fontId="42" fillId="0" borderId="0" xfId="0" applyNumberFormat="1" applyFont="1" applyFill="1" applyBorder="1" applyProtection="1"/>
    <xf numFmtId="170" fontId="41" fillId="0" borderId="0" xfId="48" applyNumberFormat="1" applyFont="1" applyAlignment="1">
      <alignment horizontal="center"/>
    </xf>
    <xf numFmtId="171" fontId="41" fillId="0" borderId="0" xfId="194" applyNumberFormat="1" applyFont="1" applyAlignment="1">
      <alignment horizontal="center"/>
    </xf>
    <xf numFmtId="0" fontId="41" fillId="0" borderId="56" xfId="0" applyNumberFormat="1" applyFont="1" applyFill="1" applyBorder="1" applyAlignment="1" applyProtection="1">
      <alignment horizontal="left" indent="2"/>
    </xf>
    <xf numFmtId="168" fontId="42" fillId="0" borderId="93" xfId="0" applyNumberFormat="1" applyFont="1" applyFill="1" applyBorder="1" applyProtection="1"/>
    <xf numFmtId="168" fontId="42" fillId="0" borderId="56" xfId="0" applyNumberFormat="1" applyFont="1" applyFill="1" applyBorder="1" applyProtection="1"/>
    <xf numFmtId="0" fontId="41" fillId="0" borderId="61" xfId="0" applyNumberFormat="1" applyFont="1" applyFill="1" applyBorder="1" applyAlignment="1" applyProtection="1">
      <alignment horizontal="center"/>
    </xf>
    <xf numFmtId="0" fontId="42" fillId="0" borderId="73" xfId="0" applyFont="1" applyBorder="1" applyAlignment="1">
      <alignment horizontal="left"/>
    </xf>
    <xf numFmtId="168" fontId="42" fillId="0" borderId="98" xfId="0" applyNumberFormat="1" applyFont="1" applyFill="1" applyBorder="1"/>
    <xf numFmtId="168" fontId="41" fillId="40" borderId="65" xfId="0" applyNumberFormat="1" applyFont="1" applyFill="1" applyBorder="1" applyProtection="1">
      <protection locked="0"/>
    </xf>
    <xf numFmtId="0" fontId="42" fillId="0" borderId="56" xfId="0" applyFont="1" applyBorder="1" applyAlignment="1">
      <alignment horizontal="left" indent="1"/>
    </xf>
    <xf numFmtId="169" fontId="47" fillId="0" borderId="0" xfId="0" applyNumberFormat="1" applyFont="1" applyBorder="1" applyProtection="1"/>
    <xf numFmtId="0" fontId="41" fillId="0" borderId="0" xfId="0" applyFont="1" applyFill="1" applyProtection="1">
      <protection locked="0"/>
    </xf>
    <xf numFmtId="0" fontId="43" fillId="0" borderId="0" xfId="0" applyFont="1" applyBorder="1" applyProtection="1"/>
    <xf numFmtId="0" fontId="47" fillId="0" borderId="0" xfId="0" applyFont="1" applyBorder="1" applyProtection="1"/>
    <xf numFmtId="172" fontId="43" fillId="0" borderId="0" xfId="48" applyNumberFormat="1" applyFont="1" applyBorder="1" applyAlignment="1">
      <alignment horizontal="right"/>
    </xf>
    <xf numFmtId="172" fontId="41" fillId="0" borderId="0" xfId="48" applyNumberFormat="1" applyFont="1"/>
    <xf numFmtId="172" fontId="41" fillId="0" borderId="0" xfId="48" applyNumberFormat="1" applyFont="1" applyFill="1"/>
    <xf numFmtId="0" fontId="42" fillId="0" borderId="74" xfId="0" applyFont="1" applyFill="1" applyBorder="1" applyAlignment="1">
      <alignment horizontal="center" vertical="center" wrapText="1"/>
    </xf>
    <xf numFmtId="168" fontId="41" fillId="0" borderId="56" xfId="0" applyNumberFormat="1" applyFont="1" applyBorder="1" applyProtection="1"/>
    <xf numFmtId="168" fontId="41" fillId="0" borderId="93" xfId="0" applyNumberFormat="1" applyFont="1" applyBorder="1" applyProtection="1"/>
    <xf numFmtId="0" fontId="42" fillId="0" borderId="78" xfId="0" applyNumberFormat="1" applyFont="1" applyBorder="1" applyAlignment="1">
      <alignment vertical="center" wrapText="1"/>
    </xf>
    <xf numFmtId="168" fontId="42" fillId="0" borderId="70" xfId="0" applyNumberFormat="1" applyFont="1" applyBorder="1" applyAlignment="1">
      <alignment vertical="center"/>
    </xf>
    <xf numFmtId="168" fontId="42" fillId="0" borderId="58" xfId="0" applyNumberFormat="1" applyFont="1" applyBorder="1" applyAlignment="1">
      <alignment vertical="center"/>
    </xf>
    <xf numFmtId="168" fontId="42" fillId="0" borderId="59" xfId="0" applyNumberFormat="1" applyFont="1" applyBorder="1" applyAlignment="1">
      <alignment vertical="center"/>
    </xf>
    <xf numFmtId="168" fontId="42" fillId="0" borderId="78" xfId="0" applyNumberFormat="1" applyFont="1" applyBorder="1" applyAlignment="1">
      <alignment vertical="center"/>
    </xf>
    <xf numFmtId="168" fontId="42" fillId="0" borderId="94" xfId="0" applyNumberFormat="1" applyFont="1" applyBorder="1" applyAlignment="1">
      <alignment vertical="center"/>
    </xf>
    <xf numFmtId="0" fontId="41" fillId="0" borderId="0" xfId="0" applyFont="1" applyAlignment="1">
      <alignment vertical="center"/>
    </xf>
    <xf numFmtId="168" fontId="41" fillId="40" borderId="77" xfId="0" applyNumberFormat="1" applyFont="1" applyFill="1" applyBorder="1" applyProtection="1">
      <protection locked="0"/>
    </xf>
    <xf numFmtId="0" fontId="41" fillId="0" borderId="56" xfId="0" applyNumberFormat="1" applyFont="1" applyBorder="1" applyAlignment="1" applyProtection="1">
      <alignment horizontal="left" indent="1"/>
    </xf>
    <xf numFmtId="0" fontId="42" fillId="0" borderId="56" xfId="0" applyNumberFormat="1" applyFont="1" applyBorder="1" applyAlignment="1">
      <alignment vertical="center" wrapText="1"/>
    </xf>
    <xf numFmtId="168" fontId="42" fillId="0" borderId="56" xfId="0" applyNumberFormat="1" applyFont="1" applyFill="1" applyBorder="1"/>
    <xf numFmtId="168" fontId="42" fillId="0" borderId="61" xfId="0" applyNumberFormat="1" applyFont="1" applyFill="1" applyBorder="1"/>
    <xf numFmtId="168" fontId="42" fillId="0" borderId="0" xfId="0" applyNumberFormat="1" applyFont="1" applyFill="1" applyBorder="1"/>
    <xf numFmtId="168" fontId="42" fillId="0" borderId="93" xfId="0" applyNumberFormat="1" applyFont="1" applyFill="1" applyBorder="1"/>
    <xf numFmtId="0" fontId="42" fillId="0" borderId="0" xfId="0" applyNumberFormat="1" applyFont="1" applyBorder="1" applyAlignment="1">
      <alignment vertical="center" wrapText="1"/>
    </xf>
    <xf numFmtId="0" fontId="45" fillId="0" borderId="0" xfId="0" applyFont="1" applyFill="1" applyBorder="1" applyAlignment="1" applyProtection="1">
      <alignment vertical="center" wrapText="1"/>
    </xf>
    <xf numFmtId="0" fontId="43" fillId="0" borderId="0" xfId="0" applyFont="1" applyProtection="1"/>
    <xf numFmtId="166" fontId="41" fillId="0" borderId="0" xfId="48" applyFont="1"/>
    <xf numFmtId="0" fontId="29" fillId="34" borderId="31" xfId="0" applyFont="1" applyFill="1" applyBorder="1" applyAlignment="1">
      <alignment horizontal="center" vertical="top" wrapText="1"/>
    </xf>
    <xf numFmtId="4" fontId="29" fillId="34" borderId="31" xfId="0" applyNumberFormat="1" applyFont="1" applyFill="1" applyBorder="1" applyAlignment="1">
      <alignment horizontal="center" vertical="top" wrapText="1"/>
    </xf>
    <xf numFmtId="0" fontId="29" fillId="34" borderId="31" xfId="0" applyFont="1" applyFill="1" applyBorder="1" applyAlignment="1">
      <alignment vertical="top" wrapText="1"/>
    </xf>
    <xf numFmtId="0" fontId="41" fillId="0" borderId="0" xfId="0" applyFont="1" applyAlignment="1">
      <alignment wrapText="1"/>
    </xf>
    <xf numFmtId="0" fontId="44" fillId="0" borderId="52" xfId="0" applyNumberFormat="1" applyFont="1" applyBorder="1" applyAlignment="1">
      <alignment wrapText="1"/>
    </xf>
    <xf numFmtId="0" fontId="41" fillId="0" borderId="56" xfId="0" applyNumberFormat="1" applyFont="1" applyBorder="1" applyAlignment="1">
      <alignment horizontal="left" wrapText="1"/>
    </xf>
    <xf numFmtId="0" fontId="41" fillId="0" borderId="56" xfId="0" applyNumberFormat="1" applyFont="1" applyBorder="1" applyAlignment="1">
      <alignment wrapText="1"/>
    </xf>
    <xf numFmtId="0" fontId="44" fillId="0" borderId="56" xfId="0" applyNumberFormat="1" applyFont="1" applyBorder="1" applyAlignment="1">
      <alignment wrapText="1"/>
    </xf>
    <xf numFmtId="0" fontId="42" fillId="0" borderId="78" xfId="0" applyNumberFormat="1" applyFont="1" applyBorder="1" applyAlignment="1">
      <alignment wrapText="1"/>
    </xf>
    <xf numFmtId="0" fontId="41" fillId="0" borderId="56" xfId="0" applyNumberFormat="1" applyFont="1" applyFill="1" applyBorder="1" applyAlignment="1">
      <alignment horizontal="left" wrapText="1"/>
    </xf>
    <xf numFmtId="0" fontId="41" fillId="0" borderId="56" xfId="0" applyNumberFormat="1" applyFont="1" applyBorder="1" applyAlignment="1">
      <alignment horizontal="left" vertical="top" wrapText="1"/>
    </xf>
    <xf numFmtId="0" fontId="43" fillId="0" borderId="0" xfId="0" applyFont="1" applyAlignment="1">
      <alignment horizontal="right" wrapText="1"/>
    </xf>
    <xf numFmtId="0" fontId="41" fillId="0" borderId="56" xfId="0" applyNumberFormat="1" applyFont="1" applyFill="1" applyBorder="1" applyAlignment="1" applyProtection="1">
      <alignment horizontal="left" wrapText="1"/>
    </xf>
    <xf numFmtId="15" fontId="22" fillId="34" borderId="31" xfId="0" applyNumberFormat="1" applyFont="1" applyFill="1" applyBorder="1" applyAlignment="1">
      <alignment vertical="top" wrapText="1"/>
    </xf>
    <xf numFmtId="9" fontId="22" fillId="34" borderId="31" xfId="0" applyNumberFormat="1" applyFont="1" applyFill="1" applyBorder="1" applyAlignment="1">
      <alignment horizontal="center" vertical="top" wrapText="1"/>
    </xf>
    <xf numFmtId="167" fontId="22" fillId="34" borderId="31" xfId="0" applyNumberFormat="1" applyFont="1" applyFill="1" applyBorder="1" applyAlignment="1">
      <alignment horizontal="center" vertical="top" wrapText="1"/>
    </xf>
    <xf numFmtId="0" fontId="30" fillId="34" borderId="31" xfId="0" applyFont="1" applyFill="1" applyBorder="1" applyAlignment="1">
      <alignment horizontal="left" vertical="top" wrapText="1"/>
    </xf>
    <xf numFmtId="15" fontId="30" fillId="34" borderId="31" xfId="0" applyNumberFormat="1" applyFont="1" applyFill="1" applyBorder="1" applyAlignment="1">
      <alignment horizontal="center" vertical="top" wrapText="1"/>
    </xf>
    <xf numFmtId="9" fontId="30" fillId="34" borderId="31" xfId="0" applyNumberFormat="1" applyFont="1" applyFill="1" applyBorder="1" applyAlignment="1">
      <alignment vertical="top" wrapText="1"/>
    </xf>
    <xf numFmtId="15" fontId="30" fillId="34" borderId="31" xfId="0" applyNumberFormat="1" applyFont="1" applyFill="1" applyBorder="1" applyAlignment="1">
      <alignment horizontal="left" vertical="top" wrapText="1"/>
    </xf>
    <xf numFmtId="14" fontId="30" fillId="34" borderId="31" xfId="0" applyNumberFormat="1" applyFont="1" applyFill="1" applyBorder="1" applyAlignment="1">
      <alignment horizontal="center" vertical="top" wrapText="1"/>
    </xf>
    <xf numFmtId="15" fontId="22" fillId="34" borderId="31" xfId="0" applyNumberFormat="1" applyFont="1" applyFill="1" applyBorder="1" applyAlignment="1">
      <alignment horizontal="center" vertical="top" wrapText="1"/>
    </xf>
    <xf numFmtId="9" fontId="22" fillId="34" borderId="31" xfId="0" applyNumberFormat="1" applyFont="1" applyFill="1" applyBorder="1" applyAlignment="1">
      <alignment horizontal="left" vertical="top" wrapText="1"/>
    </xf>
    <xf numFmtId="0" fontId="53" fillId="34" borderId="12" xfId="0" applyFont="1" applyFill="1" applyBorder="1" applyAlignment="1">
      <alignment horizontal="center" vertical="top" wrapText="1"/>
    </xf>
    <xf numFmtId="0" fontId="29" fillId="34" borderId="32" xfId="0" applyFont="1" applyFill="1" applyBorder="1" applyAlignment="1">
      <alignment vertical="top" wrapText="1"/>
    </xf>
    <xf numFmtId="0" fontId="29" fillId="34" borderId="28" xfId="0" applyFont="1" applyFill="1" applyBorder="1" applyAlignment="1">
      <alignment vertical="top" wrapText="1"/>
    </xf>
    <xf numFmtId="0" fontId="54" fillId="34" borderId="33" xfId="0" applyFont="1" applyFill="1" applyBorder="1" applyAlignment="1">
      <alignment horizontal="left" vertical="top" wrapText="1"/>
    </xf>
    <xf numFmtId="0" fontId="55" fillId="34" borderId="0" xfId="0" applyFont="1" applyFill="1"/>
    <xf numFmtId="0" fontId="30" fillId="34" borderId="17" xfId="0" applyFont="1" applyFill="1" applyBorder="1" applyAlignment="1">
      <alignment horizontal="center" vertical="top" wrapText="1"/>
    </xf>
    <xf numFmtId="4" fontId="30" fillId="34" borderId="31" xfId="0" applyNumberFormat="1" applyFont="1" applyFill="1" applyBorder="1" applyAlignment="1">
      <alignment vertical="top" wrapText="1"/>
    </xf>
    <xf numFmtId="0" fontId="30" fillId="34" borderId="31" xfId="0" applyNumberFormat="1" applyFont="1" applyFill="1" applyBorder="1" applyAlignment="1">
      <alignment horizontal="center" vertical="top" wrapText="1"/>
    </xf>
    <xf numFmtId="4" fontId="30" fillId="34" borderId="31" xfId="0" applyNumberFormat="1" applyFont="1" applyFill="1" applyBorder="1" applyAlignment="1">
      <alignment horizontal="center" vertical="top" wrapText="1"/>
    </xf>
    <xf numFmtId="0" fontId="57" fillId="34" borderId="17" xfId="0" applyFont="1" applyFill="1" applyBorder="1" applyAlignment="1">
      <alignment horizontal="center" vertical="top" wrapText="1"/>
    </xf>
    <xf numFmtId="0" fontId="57" fillId="34" borderId="31" xfId="0" applyFont="1" applyFill="1" applyBorder="1" applyAlignment="1">
      <alignment vertical="top" wrapText="1"/>
    </xf>
    <xf numFmtId="1" fontId="22" fillId="34" borderId="31" xfId="0" applyNumberFormat="1" applyFont="1" applyFill="1" applyBorder="1" applyAlignment="1">
      <alignment horizontal="center" vertical="top" wrapText="1"/>
    </xf>
    <xf numFmtId="4" fontId="57" fillId="34" borderId="31" xfId="0" applyNumberFormat="1" applyFont="1" applyFill="1" applyBorder="1" applyAlignment="1">
      <alignment horizontal="center" vertical="top" wrapText="1"/>
    </xf>
    <xf numFmtId="0" fontId="57" fillId="34" borderId="31" xfId="0" applyFont="1" applyFill="1" applyBorder="1" applyAlignment="1">
      <alignment horizontal="center" vertical="top" wrapText="1"/>
    </xf>
    <xf numFmtId="0" fontId="22" fillId="34" borderId="31" xfId="0" applyNumberFormat="1" applyFont="1" applyFill="1" applyBorder="1" applyAlignment="1">
      <alignment horizontal="center" vertical="top" wrapText="1"/>
    </xf>
    <xf numFmtId="9" fontId="57" fillId="34" borderId="31" xfId="0" applyNumberFormat="1" applyFont="1" applyFill="1" applyBorder="1" applyAlignment="1">
      <alignment horizontal="center" vertical="top" wrapText="1"/>
    </xf>
    <xf numFmtId="0" fontId="57" fillId="34" borderId="31" xfId="0" applyNumberFormat="1" applyFont="1" applyFill="1" applyBorder="1" applyAlignment="1">
      <alignment horizontal="center" vertical="top" wrapText="1"/>
    </xf>
    <xf numFmtId="0" fontId="22" fillId="34" borderId="17" xfId="0" applyFont="1" applyFill="1" applyBorder="1" applyAlignment="1">
      <alignment horizontal="center" vertical="top" wrapText="1"/>
    </xf>
    <xf numFmtId="4" fontId="22" fillId="34" borderId="31" xfId="0" applyNumberFormat="1" applyFont="1" applyFill="1" applyBorder="1" applyAlignment="1">
      <alignment horizontal="center" vertical="top" wrapText="1"/>
    </xf>
    <xf numFmtId="0" fontId="58" fillId="34" borderId="0" xfId="0" applyFont="1" applyFill="1"/>
    <xf numFmtId="9" fontId="30" fillId="34" borderId="50" xfId="0" applyNumberFormat="1" applyFont="1" applyFill="1" applyBorder="1" applyAlignment="1">
      <alignment horizontal="center" vertical="top" wrapText="1"/>
    </xf>
    <xf numFmtId="0" fontId="58" fillId="34" borderId="51" xfId="0" applyFont="1" applyFill="1" applyBorder="1" applyAlignment="1">
      <alignment horizontal="center"/>
    </xf>
    <xf numFmtId="0" fontId="54" fillId="41" borderId="31" xfId="0" applyFont="1" applyFill="1" applyBorder="1" applyAlignment="1">
      <alignment horizontal="left" vertical="top" wrapText="1"/>
    </xf>
    <xf numFmtId="0" fontId="55" fillId="34" borderId="35" xfId="0" applyFont="1" applyFill="1" applyBorder="1"/>
    <xf numFmtId="0" fontId="57" fillId="0" borderId="31" xfId="0" applyFont="1" applyBorder="1" applyAlignment="1">
      <alignment vertical="top" wrapText="1"/>
    </xf>
    <xf numFmtId="0" fontId="30" fillId="0" borderId="31" xfId="0" applyFont="1" applyBorder="1" applyAlignment="1">
      <alignment horizontal="left" vertical="top" wrapText="1"/>
    </xf>
    <xf numFmtId="4" fontId="30" fillId="34" borderId="31" xfId="0" applyNumberFormat="1" applyFont="1" applyFill="1" applyBorder="1" applyAlignment="1">
      <alignment horizontal="left" vertical="top" wrapText="1"/>
    </xf>
    <xf numFmtId="0" fontId="55" fillId="0" borderId="31" xfId="0" applyFont="1" applyBorder="1" applyAlignment="1">
      <alignment horizontal="left" vertical="top" wrapText="1"/>
    </xf>
    <xf numFmtId="0" fontId="55" fillId="0" borderId="0" xfId="0" applyFont="1"/>
    <xf numFmtId="0" fontId="22" fillId="0" borderId="31" xfId="0" applyFont="1" applyBorder="1" applyAlignment="1">
      <alignment horizontal="center" vertical="top" wrapText="1"/>
    </xf>
    <xf numFmtId="1" fontId="22" fillId="0" borderId="31" xfId="0" applyNumberFormat="1" applyFont="1" applyBorder="1" applyAlignment="1">
      <alignment horizontal="center" vertical="top" wrapText="1"/>
    </xf>
    <xf numFmtId="1" fontId="22" fillId="34" borderId="31" xfId="0" applyNumberFormat="1" applyFont="1" applyFill="1" applyBorder="1" applyAlignment="1">
      <alignment vertical="top" wrapText="1"/>
    </xf>
    <xf numFmtId="1" fontId="22" fillId="0" borderId="31" xfId="0" applyNumberFormat="1" applyFont="1" applyBorder="1" applyAlignment="1">
      <alignment vertical="top" wrapText="1"/>
    </xf>
    <xf numFmtId="9" fontId="22" fillId="34" borderId="31" xfId="223" applyFont="1" applyFill="1" applyBorder="1" applyAlignment="1">
      <alignment horizontal="center" vertical="top" wrapText="1"/>
    </xf>
    <xf numFmtId="0" fontId="22" fillId="0" borderId="31" xfId="0" applyNumberFormat="1" applyFont="1" applyBorder="1" applyAlignment="1">
      <alignment vertical="top" wrapText="1"/>
    </xf>
    <xf numFmtId="0" fontId="22" fillId="34" borderId="31" xfId="0" applyNumberFormat="1" applyFont="1" applyFill="1" applyBorder="1" applyAlignment="1">
      <alignment vertical="top" wrapText="1"/>
    </xf>
    <xf numFmtId="9" fontId="22" fillId="0" borderId="31" xfId="0" applyNumberFormat="1" applyFont="1" applyBorder="1" applyAlignment="1">
      <alignment horizontal="center" vertical="top" wrapText="1"/>
    </xf>
    <xf numFmtId="0" fontId="22" fillId="34" borderId="31" xfId="223" applyNumberFormat="1" applyFont="1" applyFill="1" applyBorder="1" applyAlignment="1">
      <alignment horizontal="center" vertical="top" wrapText="1"/>
    </xf>
    <xf numFmtId="0" fontId="22" fillId="0" borderId="13" xfId="0" applyFont="1" applyBorder="1" applyAlignment="1">
      <alignment vertical="top" wrapText="1"/>
    </xf>
    <xf numFmtId="0" fontId="59" fillId="34" borderId="0" xfId="0" applyFont="1" applyFill="1" applyBorder="1" applyAlignment="1">
      <alignment horizontal="center" vertical="top"/>
    </xf>
    <xf numFmtId="0" fontId="59" fillId="34" borderId="22" xfId="0" applyFont="1" applyFill="1" applyBorder="1" applyAlignment="1">
      <alignment horizontal="center" vertical="top"/>
    </xf>
    <xf numFmtId="0" fontId="55" fillId="34" borderId="36" xfId="0" applyFont="1" applyFill="1" applyBorder="1" applyAlignment="1">
      <alignment vertical="top"/>
    </xf>
    <xf numFmtId="0" fontId="53" fillId="34" borderId="36" xfId="0" applyFont="1" applyFill="1" applyBorder="1" applyAlignment="1">
      <alignment horizontal="center" vertical="top" wrapText="1"/>
    </xf>
    <xf numFmtId="3" fontId="53" fillId="34" borderId="36" xfId="0" applyNumberFormat="1" applyFont="1" applyFill="1" applyBorder="1" applyAlignment="1">
      <alignment horizontal="center" vertical="top" wrapText="1"/>
    </xf>
    <xf numFmtId="0" fontId="53" fillId="34" borderId="36" xfId="0" applyFont="1" applyFill="1" applyBorder="1" applyAlignment="1">
      <alignment horizontal="left" vertical="top" wrapText="1"/>
    </xf>
    <xf numFmtId="0" fontId="55" fillId="34" borderId="43" xfId="0" applyFont="1" applyFill="1" applyBorder="1" applyAlignment="1">
      <alignment vertical="top" wrapText="1"/>
    </xf>
    <xf numFmtId="0" fontId="22" fillId="34" borderId="43" xfId="0" applyFont="1" applyFill="1" applyBorder="1" applyAlignment="1">
      <alignment vertical="top" wrapText="1"/>
    </xf>
    <xf numFmtId="0" fontId="55" fillId="34" borderId="10" xfId="0" applyFont="1" applyFill="1" applyBorder="1" applyAlignment="1">
      <alignment vertical="top" wrapText="1"/>
    </xf>
    <xf numFmtId="14" fontId="55" fillId="34" borderId="10" xfId="0" applyNumberFormat="1" applyFont="1" applyFill="1" applyBorder="1" applyAlignment="1">
      <alignment vertical="top" wrapText="1"/>
    </xf>
    <xf numFmtId="0" fontId="55" fillId="34" borderId="17" xfId="0" applyFont="1" applyFill="1" applyBorder="1" applyAlignment="1">
      <alignment vertical="top" wrapText="1"/>
    </xf>
    <xf numFmtId="0" fontId="55" fillId="34" borderId="11" xfId="0" applyFont="1" applyFill="1" applyBorder="1" applyAlignment="1">
      <alignment vertical="top" wrapText="1"/>
    </xf>
    <xf numFmtId="0" fontId="55" fillId="34" borderId="17" xfId="0" applyNumberFormat="1" applyFont="1" applyFill="1" applyBorder="1" applyAlignment="1">
      <alignment vertical="top" wrapText="1"/>
    </xf>
    <xf numFmtId="3" fontId="60" fillId="34" borderId="43" xfId="1" applyNumberFormat="1" applyFont="1" applyFill="1" applyBorder="1" applyAlignment="1">
      <alignment vertical="top"/>
    </xf>
    <xf numFmtId="0" fontId="58" fillId="34" borderId="43" xfId="0" applyFont="1" applyFill="1" applyBorder="1" applyAlignment="1">
      <alignment vertical="top" wrapText="1"/>
    </xf>
    <xf numFmtId="0" fontId="22" fillId="34" borderId="17" xfId="0" applyFont="1" applyFill="1" applyBorder="1" applyAlignment="1">
      <alignment vertical="top" wrapText="1"/>
    </xf>
    <xf numFmtId="0" fontId="55" fillId="34" borderId="14" xfId="0" applyFont="1" applyFill="1" applyBorder="1" applyAlignment="1">
      <alignment vertical="top" wrapText="1"/>
    </xf>
    <xf numFmtId="0" fontId="55" fillId="34" borderId="0" xfId="0" applyFont="1" applyFill="1" applyAlignment="1">
      <alignment vertical="top" wrapText="1"/>
    </xf>
    <xf numFmtId="0" fontId="55" fillId="34" borderId="0" xfId="0" applyFont="1" applyFill="1" applyAlignment="1">
      <alignment vertical="top"/>
    </xf>
    <xf numFmtId="0" fontId="59" fillId="34" borderId="0" xfId="0" applyFont="1" applyFill="1" applyAlignment="1">
      <alignment vertical="top"/>
    </xf>
    <xf numFmtId="3" fontId="59" fillId="34" borderId="43" xfId="0" applyNumberFormat="1" applyFont="1" applyFill="1" applyBorder="1" applyAlignment="1">
      <alignment vertical="top"/>
    </xf>
    <xf numFmtId="0" fontId="59" fillId="34" borderId="37" xfId="0" applyFont="1" applyFill="1" applyBorder="1" applyAlignment="1">
      <alignment horizontal="center" vertical="top"/>
    </xf>
    <xf numFmtId="0" fontId="59" fillId="34" borderId="38" xfId="0" applyFont="1" applyFill="1" applyBorder="1" applyAlignment="1">
      <alignment horizontal="center" vertical="top"/>
    </xf>
    <xf numFmtId="0" fontId="59" fillId="34" borderId="39" xfId="0" applyFont="1" applyFill="1" applyBorder="1" applyAlignment="1">
      <alignment horizontal="center" vertical="top"/>
    </xf>
    <xf numFmtId="0" fontId="59" fillId="34" borderId="17" xfId="0" applyFont="1" applyFill="1" applyBorder="1" applyAlignment="1">
      <alignment vertical="top"/>
    </xf>
    <xf numFmtId="3" fontId="60" fillId="34" borderId="17" xfId="1" applyNumberFormat="1" applyFont="1" applyFill="1" applyBorder="1" applyAlignment="1">
      <alignment vertical="top"/>
    </xf>
    <xf numFmtId="0" fontId="57" fillId="34" borderId="0" xfId="0" applyFont="1" applyFill="1" applyAlignment="1">
      <alignment vertical="top"/>
    </xf>
    <xf numFmtId="0" fontId="54" fillId="34" borderId="0" xfId="0" applyFont="1" applyFill="1" applyBorder="1" applyAlignment="1">
      <alignment horizontal="center" vertical="top"/>
    </xf>
    <xf numFmtId="0" fontId="54" fillId="34" borderId="22" xfId="0" applyFont="1" applyFill="1" applyBorder="1" applyAlignment="1">
      <alignment horizontal="center" vertical="top"/>
    </xf>
    <xf numFmtId="0" fontId="57" fillId="34" borderId="36" xfId="0" applyFont="1" applyFill="1" applyBorder="1" applyAlignment="1">
      <alignment vertical="top"/>
    </xf>
    <xf numFmtId="14" fontId="57" fillId="34" borderId="10" xfId="0" applyNumberFormat="1" applyFont="1" applyFill="1" applyBorder="1" applyAlignment="1">
      <alignment vertical="top" wrapText="1"/>
    </xf>
    <xf numFmtId="0" fontId="57" fillId="34" borderId="43" xfId="0" applyFont="1" applyFill="1" applyBorder="1" applyAlignment="1">
      <alignment horizontal="left" vertical="top" wrapText="1"/>
    </xf>
    <xf numFmtId="0" fontId="57" fillId="34" borderId="43" xfId="0" applyFont="1" applyFill="1" applyBorder="1" applyAlignment="1">
      <alignment vertical="top" wrapText="1"/>
    </xf>
    <xf numFmtId="3" fontId="54" fillId="34" borderId="43" xfId="0" applyNumberFormat="1" applyFont="1" applyFill="1" applyBorder="1" applyAlignment="1">
      <alignment vertical="top" wrapText="1"/>
    </xf>
    <xf numFmtId="0" fontId="57" fillId="34" borderId="0" xfId="0" applyFont="1" applyFill="1" applyAlignment="1">
      <alignment vertical="top" wrapText="1"/>
    </xf>
    <xf numFmtId="0" fontId="57" fillId="34" borderId="43" xfId="0" applyFont="1" applyFill="1" applyBorder="1" applyAlignment="1">
      <alignment vertical="top"/>
    </xf>
    <xf numFmtId="3" fontId="54" fillId="34" borderId="43" xfId="0" applyNumberFormat="1" applyFont="1" applyFill="1" applyBorder="1" applyAlignment="1">
      <alignment vertical="top"/>
    </xf>
    <xf numFmtId="0" fontId="26" fillId="34" borderId="81" xfId="0" applyFont="1" applyFill="1" applyBorder="1" applyAlignment="1">
      <alignment horizontal="center" vertical="top"/>
    </xf>
    <xf numFmtId="0" fontId="61" fillId="41" borderId="31" xfId="0" applyFont="1" applyFill="1" applyBorder="1" applyAlignment="1">
      <alignment horizontal="center" vertical="top" wrapText="1"/>
    </xf>
    <xf numFmtId="0" fontId="61" fillId="41" borderId="31" xfId="0" applyFont="1" applyFill="1" applyBorder="1" applyAlignment="1">
      <alignment vertical="top" wrapText="1"/>
    </xf>
    <xf numFmtId="4" fontId="61" fillId="41" borderId="31" xfId="0" applyNumberFormat="1" applyFont="1" applyFill="1" applyBorder="1" applyAlignment="1">
      <alignment horizontal="center" vertical="top" wrapText="1"/>
    </xf>
    <xf numFmtId="0" fontId="23" fillId="0" borderId="31" xfId="0" applyFont="1" applyBorder="1" applyAlignment="1">
      <alignment horizontal="center" vertical="top" wrapText="1"/>
    </xf>
    <xf numFmtId="0" fontId="20" fillId="0" borderId="31" xfId="0" applyFont="1" applyBorder="1" applyAlignment="1">
      <alignment vertical="top" wrapText="1"/>
    </xf>
    <xf numFmtId="0" fontId="23" fillId="0" borderId="31" xfId="0" applyFont="1" applyBorder="1" applyAlignment="1">
      <alignment vertical="top" wrapText="1"/>
    </xf>
    <xf numFmtId="0" fontId="20" fillId="34" borderId="31" xfId="0" applyFont="1" applyFill="1" applyBorder="1" applyAlignment="1">
      <alignment vertical="top" wrapText="1"/>
    </xf>
    <xf numFmtId="0" fontId="20" fillId="34" borderId="31" xfId="0" applyFont="1" applyFill="1" applyBorder="1" applyAlignment="1">
      <alignment horizontal="left" vertical="top" wrapText="1"/>
    </xf>
    <xf numFmtId="0" fontId="23" fillId="34" borderId="31" xfId="0" applyFont="1" applyFill="1" applyBorder="1" applyAlignment="1">
      <alignment vertical="top" wrapText="1"/>
    </xf>
    <xf numFmtId="0" fontId="23" fillId="34" borderId="31" xfId="0" applyFont="1" applyFill="1" applyBorder="1" applyAlignment="1">
      <alignment horizontal="center" vertical="top" wrapText="1"/>
    </xf>
    <xf numFmtId="9" fontId="23" fillId="34" borderId="31" xfId="0" applyNumberFormat="1" applyFont="1" applyFill="1" applyBorder="1" applyAlignment="1">
      <alignment horizontal="center" vertical="top" wrapText="1"/>
    </xf>
    <xf numFmtId="167" fontId="23" fillId="34" borderId="31" xfId="0" applyNumberFormat="1" applyFont="1" applyFill="1" applyBorder="1" applyAlignment="1">
      <alignment horizontal="center" vertical="top" wrapText="1"/>
    </xf>
    <xf numFmtId="0" fontId="20" fillId="34" borderId="31" xfId="0" applyFont="1" applyFill="1" applyBorder="1" applyAlignment="1">
      <alignment horizontal="center" vertical="top" wrapText="1"/>
    </xf>
    <xf numFmtId="9" fontId="23" fillId="0" borderId="31" xfId="0" applyNumberFormat="1" applyFont="1" applyBorder="1" applyAlignment="1">
      <alignment vertical="top" wrapText="1"/>
    </xf>
    <xf numFmtId="0" fontId="25" fillId="0" borderId="0" xfId="0" applyFont="1" applyAlignment="1">
      <alignment horizontal="center"/>
    </xf>
    <xf numFmtId="0" fontId="26" fillId="34" borderId="81" xfId="0" applyFont="1" applyFill="1" applyBorder="1" applyAlignment="1">
      <alignment horizontal="center" vertical="top" wrapText="1"/>
    </xf>
    <xf numFmtId="0" fontId="63" fillId="34" borderId="81" xfId="0" applyFont="1" applyFill="1" applyBorder="1" applyAlignment="1">
      <alignment horizontal="center" vertical="top" wrapText="1"/>
    </xf>
    <xf numFmtId="3" fontId="63" fillId="34" borderId="81" xfId="0" applyNumberFormat="1" applyFont="1" applyFill="1" applyBorder="1" applyAlignment="1">
      <alignment horizontal="center" vertical="top" wrapText="1"/>
    </xf>
    <xf numFmtId="0" fontId="63" fillId="34" borderId="81" xfId="0" applyFont="1" applyFill="1" applyBorder="1" applyAlignment="1">
      <alignment horizontal="left" vertical="top" wrapText="1"/>
    </xf>
    <xf numFmtId="0" fontId="25" fillId="34" borderId="81" xfId="0" applyFont="1" applyFill="1" applyBorder="1" applyAlignment="1">
      <alignment horizontal="center" vertical="top" wrapText="1"/>
    </xf>
    <xf numFmtId="14" fontId="25" fillId="34" borderId="10" xfId="0" applyNumberFormat="1" applyFont="1" applyFill="1" applyBorder="1" applyAlignment="1">
      <alignment vertical="top" wrapText="1"/>
    </xf>
    <xf numFmtId="0" fontId="25" fillId="34" borderId="81" xfId="0" applyFont="1" applyFill="1" applyBorder="1" applyAlignment="1">
      <alignment horizontal="center" vertical="top"/>
    </xf>
    <xf numFmtId="0" fontId="24" fillId="34" borderId="82" xfId="0" applyFont="1" applyFill="1" applyBorder="1" applyAlignment="1">
      <alignment vertical="top" wrapText="1"/>
    </xf>
    <xf numFmtId="0" fontId="25" fillId="34" borderId="0" xfId="0" applyFont="1" applyFill="1" applyAlignment="1">
      <alignment horizontal="center" vertical="top"/>
    </xf>
    <xf numFmtId="0" fontId="25" fillId="34" borderId="0" xfId="0" applyFont="1" applyFill="1" applyAlignment="1">
      <alignment vertical="top" wrapText="1"/>
    </xf>
    <xf numFmtId="0" fontId="26" fillId="34" borderId="81" xfId="0" applyFont="1" applyFill="1" applyBorder="1" applyAlignment="1">
      <alignment horizontal="center" vertical="top"/>
    </xf>
    <xf numFmtId="0" fontId="26" fillId="34" borderId="81" xfId="0" applyFont="1" applyFill="1" applyBorder="1" applyAlignment="1">
      <alignment horizontal="left" vertical="top" wrapText="1"/>
    </xf>
    <xf numFmtId="0" fontId="21" fillId="34" borderId="81" xfId="0" applyFont="1" applyFill="1" applyBorder="1" applyAlignment="1">
      <alignment horizontal="center" vertical="top" wrapText="1"/>
    </xf>
    <xf numFmtId="0" fontId="21" fillId="34" borderId="81" xfId="0" applyFont="1" applyFill="1" applyBorder="1" applyAlignment="1">
      <alignment horizontal="left" vertical="top" wrapText="1"/>
    </xf>
    <xf numFmtId="0" fontId="25" fillId="34" borderId="81" xfId="0" applyFont="1" applyFill="1" applyBorder="1" applyAlignment="1">
      <alignment horizontal="left"/>
    </xf>
    <xf numFmtId="0" fontId="21" fillId="34" borderId="82" xfId="0" applyFont="1" applyFill="1" applyBorder="1" applyAlignment="1">
      <alignment horizontal="center" vertical="top" wrapText="1"/>
    </xf>
    <xf numFmtId="0" fontId="20" fillId="34" borderId="82" xfId="0" applyFont="1" applyFill="1" applyBorder="1" applyAlignment="1">
      <alignment horizontal="center" vertical="top" wrapText="1"/>
    </xf>
    <xf numFmtId="0" fontId="20" fillId="34" borderId="81" xfId="0" applyFont="1" applyFill="1" applyBorder="1" applyAlignment="1">
      <alignment horizontal="center" vertical="top" wrapText="1"/>
    </xf>
    <xf numFmtId="166" fontId="48" fillId="34" borderId="53" xfId="1" applyFont="1" applyFill="1" applyBorder="1" applyAlignment="1">
      <alignment horizontal="center" vertical="top" wrapText="1"/>
    </xf>
    <xf numFmtId="43" fontId="21" fillId="34" borderId="81" xfId="0" applyNumberFormat="1" applyFont="1" applyFill="1" applyBorder="1" applyAlignment="1">
      <alignment horizontal="center" vertical="top" wrapText="1"/>
    </xf>
    <xf numFmtId="43" fontId="48" fillId="34" borderId="81" xfId="1" applyNumberFormat="1" applyFont="1" applyFill="1" applyBorder="1" applyAlignment="1">
      <alignment horizontal="center" vertical="top" wrapText="1"/>
    </xf>
    <xf numFmtId="43" fontId="26" fillId="34" borderId="81" xfId="0" applyNumberFormat="1" applyFont="1" applyFill="1" applyBorder="1" applyAlignment="1">
      <alignment vertical="top"/>
    </xf>
    <xf numFmtId="43" fontId="27" fillId="34" borderId="81" xfId="1" applyNumberFormat="1" applyFont="1" applyFill="1" applyBorder="1" applyAlignment="1">
      <alignment vertical="top"/>
    </xf>
    <xf numFmtId="43" fontId="25" fillId="34" borderId="81" xfId="0" applyNumberFormat="1" applyFont="1" applyFill="1" applyBorder="1" applyAlignment="1">
      <alignment vertical="top" wrapText="1"/>
    </xf>
    <xf numFmtId="43" fontId="26" fillId="34" borderId="81" xfId="0" applyNumberFormat="1" applyFont="1" applyFill="1" applyBorder="1" applyAlignment="1">
      <alignment vertical="top" wrapText="1"/>
    </xf>
    <xf numFmtId="43" fontId="27" fillId="34" borderId="81" xfId="1" applyNumberFormat="1" applyFont="1" applyFill="1" applyBorder="1" applyAlignment="1">
      <alignment horizontal="center" vertical="top"/>
    </xf>
    <xf numFmtId="0" fontId="26" fillId="34" borderId="81" xfId="0" applyFont="1" applyFill="1" applyBorder="1" applyAlignment="1">
      <alignment vertical="top" wrapText="1"/>
    </xf>
    <xf numFmtId="0" fontId="53" fillId="34" borderId="99" xfId="0" applyFont="1" applyFill="1" applyBorder="1" applyAlignment="1">
      <alignment horizontal="center" vertical="top" wrapText="1"/>
    </xf>
    <xf numFmtId="3" fontId="54" fillId="34" borderId="99" xfId="0" applyNumberFormat="1" applyFont="1" applyFill="1" applyBorder="1" applyAlignment="1">
      <alignment vertical="top" wrapText="1"/>
    </xf>
    <xf numFmtId="3" fontId="54" fillId="34" borderId="99" xfId="0" applyNumberFormat="1" applyFont="1" applyFill="1" applyBorder="1" applyAlignment="1">
      <alignment vertical="top"/>
    </xf>
    <xf numFmtId="3" fontId="59" fillId="34" borderId="99" xfId="0" applyNumberFormat="1" applyFont="1" applyFill="1" applyBorder="1" applyAlignment="1">
      <alignment vertical="top"/>
    </xf>
    <xf numFmtId="3" fontId="60" fillId="34" borderId="99" xfId="1" applyNumberFormat="1" applyFont="1" applyFill="1" applyBorder="1" applyAlignment="1">
      <alignment vertical="top"/>
    </xf>
    <xf numFmtId="0" fontId="59" fillId="34" borderId="87" xfId="0" applyFont="1" applyFill="1" applyBorder="1" applyAlignment="1">
      <alignment horizontal="center" vertical="top"/>
    </xf>
    <xf numFmtId="0" fontId="26" fillId="34" borderId="99" xfId="0" applyFont="1" applyFill="1" applyBorder="1" applyAlignment="1">
      <alignment horizontal="center" vertical="top"/>
    </xf>
    <xf numFmtId="0" fontId="63" fillId="34" borderId="99" xfId="0" applyFont="1" applyFill="1" applyBorder="1" applyAlignment="1">
      <alignment horizontal="center" vertical="top" wrapText="1"/>
    </xf>
    <xf numFmtId="3" fontId="27" fillId="34" borderId="99" xfId="1" applyNumberFormat="1" applyFont="1" applyFill="1" applyBorder="1" applyAlignment="1">
      <alignment vertical="top"/>
    </xf>
    <xf numFmtId="3" fontId="26" fillId="34" borderId="99" xfId="0" applyNumberFormat="1" applyFont="1" applyFill="1" applyBorder="1" applyAlignment="1">
      <alignment vertical="top"/>
    </xf>
    <xf numFmtId="3" fontId="27" fillId="34" borderId="99" xfId="1" applyNumberFormat="1" applyFont="1" applyFill="1" applyBorder="1" applyAlignment="1">
      <alignment horizontal="center" vertical="top"/>
    </xf>
    <xf numFmtId="0" fontId="59" fillId="38" borderId="36" xfId="0" applyFont="1" applyFill="1" applyBorder="1" applyAlignment="1">
      <alignment vertical="top" wrapText="1"/>
    </xf>
    <xf numFmtId="0" fontId="53" fillId="38" borderId="36" xfId="0" applyFont="1" applyFill="1" applyBorder="1" applyAlignment="1">
      <alignment horizontal="center" vertical="top" wrapText="1"/>
    </xf>
    <xf numFmtId="3" fontId="53" fillId="38" borderId="36" xfId="0" applyNumberFormat="1" applyFont="1" applyFill="1" applyBorder="1" applyAlignment="1">
      <alignment horizontal="center" vertical="top" wrapText="1"/>
    </xf>
    <xf numFmtId="0" fontId="53" fillId="38" borderId="36" xfId="0" applyFont="1" applyFill="1" applyBorder="1" applyAlignment="1">
      <alignment horizontal="left" vertical="top" wrapText="1"/>
    </xf>
    <xf numFmtId="0" fontId="53" fillId="38" borderId="99" xfId="0" applyFont="1" applyFill="1" applyBorder="1" applyAlignment="1">
      <alignment horizontal="center" vertical="top" wrapText="1"/>
    </xf>
    <xf numFmtId="0" fontId="55" fillId="38" borderId="0" xfId="0" applyFont="1" applyFill="1"/>
    <xf numFmtId="0" fontId="55" fillId="44" borderId="36" xfId="0" applyFont="1" applyFill="1" applyBorder="1" applyAlignment="1">
      <alignment vertical="top" wrapText="1"/>
    </xf>
    <xf numFmtId="0" fontId="53" fillId="44" borderId="36" xfId="0" applyFont="1" applyFill="1" applyBorder="1" applyAlignment="1">
      <alignment horizontal="center" vertical="top" wrapText="1"/>
    </xf>
    <xf numFmtId="3" fontId="53" fillId="44" borderId="36" xfId="0" applyNumberFormat="1" applyFont="1" applyFill="1" applyBorder="1" applyAlignment="1">
      <alignment horizontal="center" vertical="top" wrapText="1"/>
    </xf>
    <xf numFmtId="0" fontId="53" fillId="44" borderId="36" xfId="0" applyFont="1" applyFill="1" applyBorder="1" applyAlignment="1">
      <alignment horizontal="left" vertical="top" wrapText="1"/>
    </xf>
    <xf numFmtId="0" fontId="53" fillId="44" borderId="99" xfId="0" applyFont="1" applyFill="1" applyBorder="1" applyAlignment="1">
      <alignment horizontal="center" vertical="top" wrapText="1"/>
    </xf>
    <xf numFmtId="0" fontId="55" fillId="44" borderId="0" xfId="0" applyFont="1" applyFill="1"/>
    <xf numFmtId="0" fontId="25" fillId="34" borderId="99" xfId="0" applyFont="1" applyFill="1" applyBorder="1" applyAlignment="1">
      <alignment horizontal="center" vertical="top"/>
    </xf>
    <xf numFmtId="0" fontId="25" fillId="34" borderId="99" xfId="0" applyFont="1" applyFill="1" applyBorder="1" applyAlignment="1">
      <alignment vertical="top" wrapText="1"/>
    </xf>
    <xf numFmtId="0" fontId="33" fillId="34" borderId="99" xfId="0" applyFont="1" applyFill="1" applyBorder="1" applyAlignment="1">
      <alignment vertical="top" wrapText="1"/>
    </xf>
    <xf numFmtId="0" fontId="42" fillId="0" borderId="54" xfId="0" applyFont="1" applyFill="1" applyBorder="1" applyAlignment="1">
      <alignment horizontal="center" vertical="center" wrapText="1"/>
    </xf>
    <xf numFmtId="0" fontId="42" fillId="0" borderId="55" xfId="0" applyFont="1" applyFill="1" applyBorder="1" applyAlignment="1">
      <alignment horizontal="center" vertical="center" wrapText="1"/>
    </xf>
    <xf numFmtId="0" fontId="42" fillId="0" borderId="91" xfId="0" applyFont="1" applyFill="1" applyBorder="1" applyAlignment="1">
      <alignment horizontal="center" vertical="center" wrapText="1"/>
    </xf>
    <xf numFmtId="0" fontId="40" fillId="0" borderId="90" xfId="0" applyFont="1" applyFill="1" applyBorder="1" applyAlignment="1">
      <alignment horizontal="left" wrapText="1"/>
    </xf>
    <xf numFmtId="0" fontId="40" fillId="0" borderId="0" xfId="0" applyFont="1" applyAlignment="1">
      <alignment horizontal="left"/>
    </xf>
    <xf numFmtId="0" fontId="42" fillId="0" borderId="101" xfId="0" applyFont="1" applyBorder="1" applyAlignment="1">
      <alignment vertical="center" wrapText="1"/>
    </xf>
    <xf numFmtId="0" fontId="42" fillId="0" borderId="102" xfId="0" applyFont="1" applyBorder="1" applyAlignment="1">
      <alignment vertical="center" wrapText="1"/>
    </xf>
    <xf numFmtId="0" fontId="42" fillId="0" borderId="103" xfId="0" applyFont="1" applyBorder="1" applyAlignment="1">
      <alignment horizontal="center" vertical="center" wrapText="1"/>
    </xf>
    <xf numFmtId="0" fontId="42" fillId="0" borderId="58" xfId="0" applyFont="1" applyBorder="1" applyAlignment="1">
      <alignment horizontal="center" vertical="center" wrapText="1"/>
    </xf>
    <xf numFmtId="9" fontId="42" fillId="0" borderId="58" xfId="194" applyFont="1" applyBorder="1" applyAlignment="1">
      <alignment horizontal="center" vertical="center" wrapText="1"/>
    </xf>
    <xf numFmtId="0" fontId="42" fillId="0" borderId="59" xfId="0" applyFont="1" applyBorder="1" applyAlignment="1">
      <alignment horizontal="center" vertical="center" wrapText="1"/>
    </xf>
    <xf numFmtId="0" fontId="43" fillId="0" borderId="56" xfId="0" applyFont="1" applyBorder="1" applyAlignment="1">
      <alignment horizontal="center" vertical="center"/>
    </xf>
    <xf numFmtId="0" fontId="41" fillId="0" borderId="60"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2" xfId="0" applyFont="1" applyBorder="1" applyAlignment="1">
      <alignment horizontal="center" vertical="center" wrapText="1"/>
    </xf>
    <xf numFmtId="0" fontId="42" fillId="0" borderId="63" xfId="0" applyFont="1" applyBorder="1" applyAlignment="1">
      <alignment horizontal="left" vertical="center"/>
    </xf>
    <xf numFmtId="0" fontId="41" fillId="0" borderId="104" xfId="0" applyFont="1" applyBorder="1" applyAlignment="1">
      <alignment horizontal="center" vertical="center"/>
    </xf>
    <xf numFmtId="0" fontId="41" fillId="0" borderId="64" xfId="0" applyFont="1" applyBorder="1" applyAlignment="1">
      <alignment horizontal="center"/>
    </xf>
    <xf numFmtId="0" fontId="41" fillId="0" borderId="64" xfId="0" applyFont="1" applyBorder="1" applyAlignment="1">
      <alignment horizontal="center" vertical="center"/>
    </xf>
    <xf numFmtId="9" fontId="41" fillId="0" borderId="64" xfId="194" applyFont="1" applyBorder="1" applyAlignment="1">
      <alignment horizontal="center" vertical="center"/>
    </xf>
    <xf numFmtId="9" fontId="41" fillId="0" borderId="65" xfId="194" applyFont="1" applyBorder="1" applyAlignment="1">
      <alignment horizontal="center" vertical="center"/>
    </xf>
    <xf numFmtId="9" fontId="41" fillId="0" borderId="66" xfId="194" applyFont="1" applyBorder="1" applyAlignment="1">
      <alignment horizontal="center" vertical="center"/>
    </xf>
    <xf numFmtId="0" fontId="41" fillId="0" borderId="57" xfId="0" applyFont="1" applyBorder="1" applyAlignment="1">
      <alignment horizontal="center"/>
    </xf>
    <xf numFmtId="0" fontId="42" fillId="0" borderId="67" xfId="0" applyFont="1" applyBorder="1" applyAlignment="1">
      <alignment horizontal="center"/>
    </xf>
    <xf numFmtId="0" fontId="42" fillId="0" borderId="61" xfId="0" applyFont="1" applyBorder="1" applyAlignment="1">
      <alignment horizontal="center"/>
    </xf>
    <xf numFmtId="0" fontId="42" fillId="0" borderId="69" xfId="0" applyFont="1" applyBorder="1" applyAlignment="1">
      <alignment horizontal="center"/>
    </xf>
    <xf numFmtId="0" fontId="42" fillId="0" borderId="57" xfId="0" applyFont="1" applyBorder="1" applyAlignment="1" applyProtection="1">
      <alignment horizontal="center"/>
      <protection locked="0"/>
    </xf>
    <xf numFmtId="168" fontId="42" fillId="0" borderId="62" xfId="0" applyNumberFormat="1" applyFont="1" applyBorder="1" applyAlignment="1">
      <alignment horizontal="right"/>
    </xf>
    <xf numFmtId="0" fontId="41" fillId="0" borderId="57" xfId="0" applyFont="1" applyBorder="1" applyAlignment="1" applyProtection="1">
      <alignment horizontal="center"/>
      <protection locked="0"/>
    </xf>
    <xf numFmtId="168" fontId="41" fillId="42" borderId="67" xfId="0" applyNumberFormat="1" applyFont="1" applyFill="1" applyBorder="1" applyAlignment="1" applyProtection="1">
      <alignment horizontal="right"/>
      <protection locked="0"/>
    </xf>
    <xf numFmtId="168" fontId="41" fillId="42" borderId="61" xfId="0" applyNumberFormat="1" applyFont="1" applyFill="1" applyBorder="1" applyAlignment="1" applyProtection="1">
      <alignment horizontal="right"/>
      <protection locked="0"/>
    </xf>
    <xf numFmtId="168" fontId="41" fillId="42" borderId="62" xfId="0" applyNumberFormat="1" applyFont="1" applyFill="1" applyBorder="1" applyAlignment="1" applyProtection="1">
      <alignment horizontal="right"/>
      <protection locked="0"/>
    </xf>
    <xf numFmtId="168" fontId="42" fillId="0" borderId="70" xfId="0" applyNumberFormat="1" applyFont="1" applyBorder="1" applyAlignment="1">
      <alignment horizontal="right"/>
    </xf>
    <xf numFmtId="168" fontId="42" fillId="0" borderId="58" xfId="0" applyNumberFormat="1" applyFont="1" applyBorder="1" applyAlignment="1">
      <alignment horizontal="right"/>
    </xf>
    <xf numFmtId="168" fontId="42" fillId="0" borderId="59" xfId="0" applyNumberFormat="1" applyFont="1" applyBorder="1" applyAlignment="1">
      <alignment horizontal="right"/>
    </xf>
    <xf numFmtId="0" fontId="41" fillId="0" borderId="63" xfId="0" applyFont="1" applyBorder="1"/>
    <xf numFmtId="0" fontId="41" fillId="0" borderId="33" xfId="0" applyFont="1" applyBorder="1" applyAlignment="1">
      <alignment horizontal="center"/>
    </xf>
    <xf numFmtId="168" fontId="41" fillId="0" borderId="71" xfId="0" applyNumberFormat="1" applyFont="1" applyBorder="1"/>
    <xf numFmtId="168" fontId="41" fillId="0" borderId="64" xfId="0" applyNumberFormat="1" applyFont="1" applyBorder="1"/>
    <xf numFmtId="168" fontId="41" fillId="0" borderId="105" xfId="0" applyNumberFormat="1" applyFont="1" applyBorder="1"/>
    <xf numFmtId="0" fontId="44" fillId="0" borderId="52" xfId="0" applyFont="1" applyBorder="1"/>
    <xf numFmtId="0" fontId="41" fillId="0" borderId="53" xfId="0" applyFont="1" applyBorder="1" applyAlignment="1">
      <alignment horizontal="center"/>
    </xf>
    <xf numFmtId="168" fontId="41" fillId="0" borderId="72" xfId="0" applyNumberFormat="1" applyFont="1" applyBorder="1"/>
    <xf numFmtId="168" fontId="41" fillId="0" borderId="68" xfId="0" applyNumberFormat="1" applyFont="1" applyBorder="1"/>
    <xf numFmtId="168" fontId="41" fillId="0" borderId="69" xfId="0" applyNumberFormat="1" applyFont="1" applyBorder="1"/>
    <xf numFmtId="168" fontId="41" fillId="42" borderId="62" xfId="0" applyNumberFormat="1" applyFont="1" applyFill="1" applyBorder="1" applyProtection="1">
      <protection locked="0"/>
    </xf>
    <xf numFmtId="168" fontId="41" fillId="0" borderId="58" xfId="0" applyNumberFormat="1" applyFont="1" applyBorder="1"/>
    <xf numFmtId="168" fontId="42" fillId="0" borderId="62" xfId="0" applyNumberFormat="1" applyFont="1" applyBorder="1"/>
    <xf numFmtId="0" fontId="41" fillId="0" borderId="106" xfId="0" applyFont="1" applyBorder="1" applyAlignment="1" applyProtection="1">
      <alignment horizontal="center"/>
      <protection locked="0"/>
    </xf>
    <xf numFmtId="168" fontId="41" fillId="0" borderId="75" xfId="0" applyNumberFormat="1" applyFont="1" applyBorder="1"/>
    <xf numFmtId="168" fontId="42" fillId="0" borderId="76" xfId="0" applyNumberFormat="1" applyFont="1" applyBorder="1"/>
    <xf numFmtId="0" fontId="45" fillId="0" borderId="0" xfId="0" applyFont="1"/>
    <xf numFmtId="0" fontId="43" fillId="0" borderId="0" xfId="0" applyFont="1" applyProtection="1">
      <protection locked="0"/>
    </xf>
    <xf numFmtId="169" fontId="42" fillId="0" borderId="0" xfId="0" applyNumberFormat="1" applyFont="1" applyProtection="1">
      <protection locked="0"/>
    </xf>
    <xf numFmtId="0" fontId="43" fillId="0" borderId="0" xfId="0" quotePrefix="1" applyFont="1"/>
    <xf numFmtId="0" fontId="42" fillId="0" borderId="0" xfId="0" applyFont="1" applyProtection="1">
      <protection locked="0"/>
    </xf>
    <xf numFmtId="0" fontId="43" fillId="0" borderId="0" xfId="0" applyFont="1" applyAlignment="1">
      <alignment horizontal="left"/>
    </xf>
    <xf numFmtId="0" fontId="43" fillId="0" borderId="0" xfId="0" applyFont="1" applyAlignment="1" applyProtection="1">
      <alignment horizontal="center"/>
      <protection locked="0"/>
    </xf>
    <xf numFmtId="0" fontId="43" fillId="0" borderId="0" xfId="0" applyFont="1" applyAlignment="1" applyProtection="1">
      <alignment horizontal="right"/>
      <protection locked="0"/>
    </xf>
    <xf numFmtId="170" fontId="41" fillId="0" borderId="0" xfId="46" applyNumberFormat="1" applyFont="1" applyProtection="1">
      <protection locked="0"/>
    </xf>
    <xf numFmtId="0" fontId="40" fillId="0" borderId="0" xfId="0" applyFont="1" applyFill="1" applyBorder="1" applyAlignment="1">
      <alignment horizontal="left"/>
    </xf>
    <xf numFmtId="0" fontId="52" fillId="0" borderId="0" xfId="0" applyFont="1" applyBorder="1"/>
    <xf numFmtId="0" fontId="42" fillId="0" borderId="0" xfId="0" applyFont="1" applyFill="1" applyBorder="1" applyAlignment="1">
      <alignment horizontal="center" vertical="center" wrapText="1"/>
    </xf>
    <xf numFmtId="0" fontId="42" fillId="43" borderId="0" xfId="0" applyFont="1" applyFill="1" applyBorder="1" applyAlignment="1">
      <alignment horizontal="center" vertical="top" wrapText="1"/>
    </xf>
    <xf numFmtId="0" fontId="44" fillId="0" borderId="0" xfId="0" applyNumberFormat="1" applyFont="1" applyBorder="1"/>
    <xf numFmtId="0" fontId="41" fillId="0" borderId="0" xfId="0" applyFont="1" applyBorder="1" applyAlignment="1">
      <alignment horizontal="center"/>
    </xf>
    <xf numFmtId="0" fontId="42" fillId="0" borderId="0" xfId="0" applyFont="1" applyBorder="1" applyAlignment="1">
      <alignment horizontal="center"/>
    </xf>
    <xf numFmtId="169" fontId="42" fillId="0" borderId="0" xfId="0" applyNumberFormat="1" applyFont="1" applyBorder="1" applyAlignment="1">
      <alignment horizontal="center"/>
    </xf>
    <xf numFmtId="0" fontId="41" fillId="0" borderId="0" xfId="0" applyFont="1" applyFill="1" applyBorder="1"/>
    <xf numFmtId="0" fontId="41" fillId="0" borderId="0" xfId="0" applyNumberFormat="1" applyFont="1" applyBorder="1" applyAlignment="1">
      <alignment horizontal="left" indent="1"/>
    </xf>
    <xf numFmtId="0" fontId="41" fillId="0" borderId="0" xfId="0" applyFont="1" applyFill="1" applyBorder="1" applyAlignment="1">
      <alignment horizontal="center"/>
    </xf>
    <xf numFmtId="0" fontId="41" fillId="0" borderId="0" xfId="0" applyNumberFormat="1" applyFont="1" applyFill="1" applyBorder="1" applyAlignment="1">
      <alignment horizontal="left" indent="1"/>
    </xf>
    <xf numFmtId="168" fontId="41" fillId="0" borderId="0" xfId="0" applyNumberFormat="1" applyFont="1" applyFill="1" applyBorder="1"/>
    <xf numFmtId="169" fontId="41" fillId="0" borderId="0" xfId="0" applyNumberFormat="1" applyFont="1" applyFill="1" applyBorder="1"/>
    <xf numFmtId="0" fontId="42" fillId="0" borderId="0" xfId="0" applyNumberFormat="1" applyFont="1" applyBorder="1" applyAlignment="1">
      <alignment horizontal="left" vertical="top" wrapText="1"/>
    </xf>
    <xf numFmtId="0" fontId="41" fillId="0" borderId="0" xfId="0" applyFont="1" applyBorder="1" applyAlignment="1">
      <alignment horizontal="center" vertical="top"/>
    </xf>
    <xf numFmtId="168" fontId="42" fillId="0" borderId="0" xfId="0" applyNumberFormat="1" applyFont="1" applyBorder="1" applyAlignment="1">
      <alignment vertical="top"/>
    </xf>
    <xf numFmtId="0" fontId="41" fillId="0" borderId="0" xfId="0" applyNumberFormat="1" applyFont="1" applyBorder="1"/>
    <xf numFmtId="0" fontId="46" fillId="0" borderId="0" xfId="0" applyFont="1" applyBorder="1" applyAlignment="1">
      <alignment horizontal="center"/>
    </xf>
    <xf numFmtId="0" fontId="42" fillId="0" borderId="0" xfId="0" applyNumberFormat="1" applyFont="1" applyBorder="1" applyAlignment="1">
      <alignment vertical="top"/>
    </xf>
    <xf numFmtId="0" fontId="42" fillId="0" borderId="0" xfId="0" applyNumberFormat="1" applyFont="1" applyBorder="1"/>
    <xf numFmtId="0" fontId="41" fillId="0" borderId="0" xfId="0" applyNumberFormat="1" applyFont="1" applyBorder="1" applyAlignment="1">
      <alignment horizontal="left" wrapText="1" indent="1"/>
    </xf>
    <xf numFmtId="168" fontId="42" fillId="40" borderId="0" xfId="48" applyNumberFormat="1" applyFont="1" applyFill="1" applyBorder="1" applyProtection="1">
      <protection locked="0"/>
    </xf>
    <xf numFmtId="0" fontId="42" fillId="0" borderId="0" xfId="0" applyNumberFormat="1" applyFont="1" applyBorder="1" applyAlignment="1">
      <alignment horizontal="left" wrapText="1"/>
    </xf>
    <xf numFmtId="0" fontId="42" fillId="0" borderId="0" xfId="0" applyNumberFormat="1" applyFont="1" applyBorder="1" applyAlignment="1">
      <alignment wrapText="1"/>
    </xf>
    <xf numFmtId="170" fontId="41" fillId="0" borderId="0" xfId="48" applyNumberFormat="1" applyFont="1" applyBorder="1" applyProtection="1"/>
    <xf numFmtId="0" fontId="41" fillId="0" borderId="33" xfId="0" applyFont="1" applyBorder="1" applyAlignment="1">
      <alignment horizontal="center" vertical="center"/>
    </xf>
    <xf numFmtId="0" fontId="42" fillId="0" borderId="0" xfId="0" applyFont="1" applyAlignment="1">
      <alignment wrapText="1"/>
    </xf>
    <xf numFmtId="168" fontId="42" fillId="0" borderId="72" xfId="0" applyNumberFormat="1" applyFont="1" applyBorder="1" applyAlignment="1">
      <alignment horizontal="center" wrapText="1"/>
    </xf>
    <xf numFmtId="168" fontId="42" fillId="0" borderId="68" xfId="0" applyNumberFormat="1" applyFont="1" applyBorder="1" applyAlignment="1">
      <alignment horizontal="center" wrapText="1"/>
    </xf>
    <xf numFmtId="168" fontId="42" fillId="0" borderId="69" xfId="0" applyNumberFormat="1" applyFont="1" applyBorder="1" applyAlignment="1">
      <alignment horizontal="center" wrapText="1"/>
    </xf>
    <xf numFmtId="168" fontId="42" fillId="0" borderId="52" xfId="0" applyNumberFormat="1" applyFont="1" applyBorder="1" applyAlignment="1">
      <alignment horizontal="center" wrapText="1"/>
    </xf>
    <xf numFmtId="168" fontId="42" fillId="0" borderId="96" xfId="0" applyNumberFormat="1" applyFont="1" applyBorder="1" applyAlignment="1">
      <alignment horizontal="center" wrapText="1"/>
    </xf>
    <xf numFmtId="0" fontId="42" fillId="0" borderId="52" xfId="0" applyFont="1" applyFill="1" applyBorder="1" applyAlignment="1">
      <alignment horizontal="center" vertical="center" wrapText="1"/>
    </xf>
    <xf numFmtId="0" fontId="42" fillId="0" borderId="85" xfId="0" applyFont="1" applyFill="1" applyBorder="1" applyAlignment="1">
      <alignment horizontal="center" vertical="center" wrapText="1"/>
    </xf>
    <xf numFmtId="168" fontId="42" fillId="0" borderId="93" xfId="0" applyNumberFormat="1" applyFont="1" applyBorder="1" applyAlignment="1">
      <alignment horizontal="center" wrapText="1"/>
    </xf>
    <xf numFmtId="168" fontId="42" fillId="0" borderId="61" xfId="0" applyNumberFormat="1" applyFont="1" applyBorder="1" applyAlignment="1">
      <alignment wrapText="1"/>
    </xf>
    <xf numFmtId="168" fontId="42" fillId="0" borderId="0" xfId="0" applyNumberFormat="1" applyFont="1" applyBorder="1" applyAlignment="1">
      <alignment wrapText="1"/>
    </xf>
    <xf numFmtId="168" fontId="42" fillId="0" borderId="56" xfId="0" applyNumberFormat="1" applyFont="1" applyBorder="1" applyAlignment="1">
      <alignment wrapText="1"/>
    </xf>
    <xf numFmtId="168" fontId="42" fillId="0" borderId="93" xfId="0" applyNumberFormat="1" applyFont="1" applyBorder="1" applyAlignment="1">
      <alignment wrapText="1"/>
    </xf>
    <xf numFmtId="0" fontId="26" fillId="34" borderId="81" xfId="0" applyFont="1" applyFill="1" applyBorder="1" applyAlignment="1">
      <alignment horizontal="center" vertical="top"/>
    </xf>
    <xf numFmtId="0" fontId="37" fillId="39" borderId="47" xfId="0" applyFont="1" applyFill="1" applyBorder="1" applyAlignment="1">
      <alignment horizontal="left" vertical="top"/>
    </xf>
    <xf numFmtId="0" fontId="37" fillId="39" borderId="48" xfId="0" applyFont="1" applyFill="1" applyBorder="1" applyAlignment="1">
      <alignment horizontal="left" vertical="top" wrapText="1"/>
    </xf>
    <xf numFmtId="0" fontId="39" fillId="39" borderId="47" xfId="0" applyFont="1" applyFill="1" applyBorder="1" applyAlignment="1">
      <alignment horizontal="left" vertical="top" wrapText="1"/>
    </xf>
    <xf numFmtId="0" fontId="37" fillId="39" borderId="47" xfId="0" applyFont="1" applyFill="1" applyBorder="1" applyAlignment="1">
      <alignment horizontal="left" vertical="top" wrapText="1"/>
    </xf>
    <xf numFmtId="0" fontId="37" fillId="39" borderId="47" xfId="0" applyFont="1" applyFill="1" applyBorder="1" applyAlignment="1">
      <alignment horizontal="left"/>
    </xf>
    <xf numFmtId="0" fontId="37" fillId="40" borderId="47" xfId="0" applyFont="1" applyFill="1" applyBorder="1" applyAlignment="1">
      <alignment vertical="top" wrapText="1"/>
    </xf>
    <xf numFmtId="0" fontId="37" fillId="40" borderId="47" xfId="0" applyFont="1" applyFill="1" applyBorder="1" applyAlignment="1">
      <alignment horizontal="justify" vertical="top" wrapText="1"/>
    </xf>
    <xf numFmtId="0" fontId="37" fillId="40" borderId="47" xfId="0" applyFont="1" applyFill="1" applyBorder="1" applyAlignment="1">
      <alignment horizontal="left" vertical="top" wrapText="1"/>
    </xf>
    <xf numFmtId="0" fontId="42" fillId="0" borderId="52" xfId="0" applyFont="1" applyBorder="1" applyAlignment="1">
      <alignment horizontal="center" vertical="center"/>
    </xf>
    <xf numFmtId="0" fontId="42" fillId="0" borderId="56" xfId="0" applyFont="1" applyBorder="1" applyAlignment="1">
      <alignment horizontal="center" vertical="center"/>
    </xf>
    <xf numFmtId="0" fontId="42" fillId="0" borderId="53" xfId="0" applyFont="1" applyBorder="1" applyAlignment="1">
      <alignment horizontal="center" vertical="center"/>
    </xf>
    <xf numFmtId="0" fontId="42" fillId="0" borderId="57" xfId="0" applyFont="1" applyBorder="1" applyAlignment="1">
      <alignment horizontal="center" vertical="center"/>
    </xf>
    <xf numFmtId="0" fontId="42" fillId="0" borderId="33" xfId="0" applyFont="1" applyBorder="1" applyAlignment="1">
      <alignment horizontal="center" vertical="center"/>
    </xf>
    <xf numFmtId="0" fontId="42" fillId="0" borderId="54"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100" xfId="0" applyFont="1" applyBorder="1" applyAlignment="1">
      <alignment horizontal="center" vertical="center" wrapText="1"/>
    </xf>
    <xf numFmtId="0" fontId="42" fillId="43" borderId="0" xfId="0" applyFont="1" applyFill="1" applyBorder="1" applyAlignment="1">
      <alignment horizontal="center" vertical="center" wrapText="1"/>
    </xf>
    <xf numFmtId="0" fontId="42" fillId="0" borderId="56"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3" fillId="0" borderId="0" xfId="0" quotePrefix="1" applyFont="1" applyBorder="1" applyAlignment="1" applyProtection="1">
      <alignment horizontal="left" wrapText="1"/>
    </xf>
    <xf numFmtId="0" fontId="42" fillId="0" borderId="101" xfId="0" applyFont="1" applyFill="1" applyBorder="1" applyAlignment="1">
      <alignment horizontal="center" vertical="center" wrapText="1"/>
    </xf>
    <xf numFmtId="0" fontId="42" fillId="0" borderId="55" xfId="0" applyFont="1" applyFill="1" applyBorder="1" applyAlignment="1">
      <alignment horizontal="center" vertical="center" wrapText="1"/>
    </xf>
    <xf numFmtId="0" fontId="42" fillId="0" borderId="54" xfId="0" applyFont="1" applyFill="1" applyBorder="1" applyAlignment="1">
      <alignment horizontal="center" vertical="center"/>
    </xf>
    <xf numFmtId="0" fontId="42" fillId="0" borderId="55" xfId="0" applyFont="1" applyFill="1" applyBorder="1" applyAlignment="1">
      <alignment horizontal="center" vertical="center"/>
    </xf>
    <xf numFmtId="0" fontId="43" fillId="0" borderId="0" xfId="0" applyNumberFormat="1" applyFont="1" applyAlignment="1" applyProtection="1">
      <alignment horizontal="left" wrapText="1"/>
    </xf>
    <xf numFmtId="0" fontId="40" fillId="0" borderId="90" xfId="0" applyFont="1" applyFill="1" applyBorder="1" applyAlignment="1">
      <alignment horizontal="center" wrapText="1"/>
    </xf>
    <xf numFmtId="0" fontId="42" fillId="0" borderId="90" xfId="0" applyFont="1" applyFill="1" applyBorder="1" applyAlignment="1">
      <alignment horizontal="left" wrapText="1"/>
    </xf>
    <xf numFmtId="0" fontId="28" fillId="34" borderId="23" xfId="0" applyFont="1" applyFill="1" applyBorder="1" applyAlignment="1">
      <alignment horizontal="center" vertical="top" wrapText="1"/>
    </xf>
    <xf numFmtId="0" fontId="28" fillId="34" borderId="24" xfId="0" applyFont="1" applyFill="1" applyBorder="1" applyAlignment="1">
      <alignment horizontal="center" vertical="top" wrapText="1"/>
    </xf>
    <xf numFmtId="0" fontId="28" fillId="34" borderId="25" xfId="0" applyFont="1" applyFill="1" applyBorder="1" applyAlignment="1">
      <alignment horizontal="center" vertical="top" wrapText="1"/>
    </xf>
    <xf numFmtId="0" fontId="28" fillId="34" borderId="26" xfId="0" applyFont="1" applyFill="1" applyBorder="1" applyAlignment="1">
      <alignment horizontal="center" vertical="top" wrapText="1"/>
    </xf>
    <xf numFmtId="0" fontId="28" fillId="34" borderId="0" xfId="0" applyFont="1" applyFill="1" applyBorder="1" applyAlignment="1">
      <alignment horizontal="center" vertical="top" wrapText="1"/>
    </xf>
    <xf numFmtId="0" fontId="28" fillId="34" borderId="27" xfId="0" applyFont="1" applyFill="1" applyBorder="1" applyAlignment="1">
      <alignment horizontal="center" vertical="top" wrapText="1"/>
    </xf>
    <xf numFmtId="0" fontId="29" fillId="34" borderId="28" xfId="0" applyFont="1" applyFill="1" applyBorder="1" applyAlignment="1">
      <alignment horizontal="center" vertical="top" wrapText="1"/>
    </xf>
    <xf numFmtId="0" fontId="29" fillId="34" borderId="29" xfId="0" applyFont="1" applyFill="1" applyBorder="1" applyAlignment="1">
      <alignment horizontal="center" vertical="top" wrapText="1"/>
    </xf>
    <xf numFmtId="0" fontId="29" fillId="34" borderId="30" xfId="0" applyFont="1" applyFill="1" applyBorder="1" applyAlignment="1">
      <alignment horizontal="center" vertical="top" wrapText="1"/>
    </xf>
    <xf numFmtId="0" fontId="50" fillId="34" borderId="17" xfId="0" applyFont="1" applyFill="1" applyBorder="1" applyAlignment="1">
      <alignment horizontal="center" vertical="top" wrapText="1"/>
    </xf>
    <xf numFmtId="0" fontId="50" fillId="34" borderId="43" xfId="0" applyFont="1" applyFill="1" applyBorder="1" applyAlignment="1">
      <alignment horizontal="center" vertical="top" wrapText="1"/>
    </xf>
    <xf numFmtId="0" fontId="62" fillId="34" borderId="23" xfId="0" applyFont="1" applyFill="1" applyBorder="1" applyAlignment="1">
      <alignment horizontal="center" vertical="top" wrapText="1"/>
    </xf>
    <xf numFmtId="0" fontId="62" fillId="34" borderId="24" xfId="0" applyFont="1" applyFill="1" applyBorder="1" applyAlignment="1">
      <alignment horizontal="center" vertical="top" wrapText="1"/>
    </xf>
    <xf numFmtId="0" fontId="62" fillId="34" borderId="25" xfId="0" applyFont="1" applyFill="1" applyBorder="1" applyAlignment="1">
      <alignment horizontal="center" vertical="top" wrapText="1"/>
    </xf>
    <xf numFmtId="0" fontId="62" fillId="34" borderId="26" xfId="0" applyFont="1" applyFill="1" applyBorder="1" applyAlignment="1">
      <alignment horizontal="center" vertical="top" wrapText="1"/>
    </xf>
    <xf numFmtId="0" fontId="62" fillId="34" borderId="0" xfId="0" applyFont="1" applyFill="1" applyBorder="1" applyAlignment="1">
      <alignment horizontal="center" vertical="top" wrapText="1"/>
    </xf>
    <xf numFmtId="0" fontId="62" fillId="34" borderId="27" xfId="0" applyFont="1" applyFill="1" applyBorder="1" applyAlignment="1">
      <alignment horizontal="center" vertical="top" wrapText="1"/>
    </xf>
    <xf numFmtId="0" fontId="61" fillId="34" borderId="28" xfId="0" applyFont="1" applyFill="1" applyBorder="1" applyAlignment="1">
      <alignment horizontal="center" vertical="top" wrapText="1"/>
    </xf>
    <xf numFmtId="0" fontId="61" fillId="34" borderId="29" xfId="0" applyFont="1" applyFill="1" applyBorder="1" applyAlignment="1">
      <alignment horizontal="center" vertical="top" wrapText="1"/>
    </xf>
    <xf numFmtId="0" fontId="61" fillId="34" borderId="30" xfId="0" applyFont="1" applyFill="1" applyBorder="1" applyAlignment="1">
      <alignment horizontal="center" vertical="top" wrapText="1"/>
    </xf>
    <xf numFmtId="0" fontId="56" fillId="34" borderId="31" xfId="0" applyFont="1" applyFill="1" applyBorder="1" applyAlignment="1">
      <alignment horizontal="center" vertical="top" wrapText="1"/>
    </xf>
    <xf numFmtId="0" fontId="56" fillId="34" borderId="34" xfId="0" applyFont="1" applyFill="1" applyBorder="1" applyAlignment="1">
      <alignment horizontal="center" vertical="top" wrapText="1"/>
    </xf>
    <xf numFmtId="0" fontId="26" fillId="34" borderId="81" xfId="0" applyFont="1" applyFill="1" applyBorder="1" applyAlignment="1">
      <alignment horizontal="center" vertical="top"/>
    </xf>
    <xf numFmtId="0" fontId="26" fillId="34" borderId="83" xfId="0" applyFont="1" applyFill="1" applyBorder="1" applyAlignment="1">
      <alignment horizontal="center" vertical="top"/>
    </xf>
    <xf numFmtId="0" fontId="26" fillId="34" borderId="84" xfId="0" applyFont="1" applyFill="1" applyBorder="1" applyAlignment="1">
      <alignment horizontal="center" vertical="top"/>
    </xf>
    <xf numFmtId="0" fontId="59" fillId="34" borderId="21" xfId="0" applyFont="1" applyFill="1" applyBorder="1" applyAlignment="1">
      <alignment horizontal="left" vertical="top" wrapText="1"/>
    </xf>
    <xf numFmtId="0" fontId="59" fillId="34" borderId="18" xfId="0" applyFont="1" applyFill="1" applyBorder="1" applyAlignment="1">
      <alignment horizontal="left" vertical="top" wrapText="1"/>
    </xf>
    <xf numFmtId="0" fontId="59" fillId="34" borderId="87" xfId="0" applyFont="1" applyFill="1" applyBorder="1" applyAlignment="1">
      <alignment horizontal="left" vertical="top" wrapText="1"/>
    </xf>
    <xf numFmtId="0" fontId="59" fillId="34" borderId="19" xfId="0" applyFont="1" applyFill="1" applyBorder="1" applyAlignment="1">
      <alignment horizontal="left" vertical="top" wrapText="1"/>
    </xf>
    <xf numFmtId="0" fontId="59" fillId="34" borderId="15" xfId="0" applyFont="1" applyFill="1" applyBorder="1" applyAlignment="1">
      <alignment horizontal="left" vertical="top" wrapText="1"/>
    </xf>
    <xf numFmtId="0" fontId="59" fillId="34" borderId="16" xfId="0" applyFont="1" applyFill="1" applyBorder="1" applyAlignment="1">
      <alignment horizontal="left" vertical="top" wrapText="1"/>
    </xf>
    <xf numFmtId="0" fontId="59" fillId="34" borderId="20" xfId="0" applyFont="1" applyFill="1" applyBorder="1" applyAlignment="1">
      <alignment horizontal="left" vertical="top" wrapText="1"/>
    </xf>
    <xf numFmtId="0" fontId="26" fillId="34" borderId="83" xfId="0" applyFont="1" applyFill="1" applyBorder="1" applyAlignment="1">
      <alignment horizontal="center" vertical="center" wrapText="1"/>
    </xf>
    <xf numFmtId="0" fontId="26" fillId="34" borderId="84" xfId="0" applyFont="1" applyFill="1" applyBorder="1" applyAlignment="1">
      <alignment horizontal="center" vertical="center" wrapText="1"/>
    </xf>
    <xf numFmtId="0" fontId="26" fillId="34" borderId="41" xfId="0" applyFont="1" applyFill="1" applyBorder="1" applyAlignment="1">
      <alignment horizontal="center" vertical="center" wrapText="1"/>
    </xf>
    <xf numFmtId="0" fontId="26" fillId="34" borderId="86" xfId="0" applyFont="1" applyFill="1" applyBorder="1" applyAlignment="1">
      <alignment horizontal="center" vertical="top"/>
    </xf>
    <xf numFmtId="0" fontId="26" fillId="34" borderId="87" xfId="0" applyFont="1" applyFill="1" applyBorder="1" applyAlignment="1">
      <alignment horizontal="center" vertical="top"/>
    </xf>
    <xf numFmtId="0" fontId="26" fillId="34" borderId="88" xfId="0" applyFont="1" applyFill="1" applyBorder="1" applyAlignment="1">
      <alignment horizontal="center" vertical="top"/>
    </xf>
    <xf numFmtId="0" fontId="26" fillId="34" borderId="15" xfId="0" applyFont="1" applyFill="1" applyBorder="1" applyAlignment="1">
      <alignment horizontal="center" vertical="top"/>
    </xf>
    <xf numFmtId="0" fontId="26" fillId="34" borderId="16" xfId="0" applyFont="1" applyFill="1" applyBorder="1" applyAlignment="1">
      <alignment horizontal="center" vertical="top"/>
    </xf>
    <xf numFmtId="0" fontId="26" fillId="34" borderId="20" xfId="0" applyFont="1" applyFill="1" applyBorder="1" applyAlignment="1">
      <alignment horizontal="center" vertical="top"/>
    </xf>
    <xf numFmtId="0" fontId="54" fillId="34" borderId="21" xfId="0" applyFont="1" applyFill="1" applyBorder="1" applyAlignment="1">
      <alignment horizontal="center" vertical="top"/>
    </xf>
    <xf numFmtId="0" fontId="54" fillId="34" borderId="18" xfId="0" applyFont="1" applyFill="1" applyBorder="1" applyAlignment="1">
      <alignment horizontal="center" vertical="top"/>
    </xf>
    <xf numFmtId="0" fontId="54" fillId="34" borderId="87" xfId="0" applyFont="1" applyFill="1" applyBorder="1" applyAlignment="1">
      <alignment horizontal="center" vertical="top"/>
    </xf>
    <xf numFmtId="0" fontId="54" fillId="34" borderId="19" xfId="0" applyFont="1" applyFill="1" applyBorder="1" applyAlignment="1">
      <alignment horizontal="center" vertical="top"/>
    </xf>
    <xf numFmtId="0" fontId="54" fillId="34" borderId="15" xfId="0" applyFont="1" applyFill="1" applyBorder="1" applyAlignment="1">
      <alignment horizontal="center" vertical="top"/>
    </xf>
    <xf numFmtId="0" fontId="54" fillId="34" borderId="16" xfId="0" applyFont="1" applyFill="1" applyBorder="1" applyAlignment="1">
      <alignment horizontal="center" vertical="top"/>
    </xf>
    <xf numFmtId="0" fontId="54" fillId="34" borderId="20" xfId="0" applyFont="1" applyFill="1" applyBorder="1" applyAlignment="1">
      <alignment horizontal="center" vertical="top"/>
    </xf>
    <xf numFmtId="0" fontId="59" fillId="34" borderId="21" xfId="0" applyFont="1" applyFill="1" applyBorder="1" applyAlignment="1">
      <alignment horizontal="left" vertical="top"/>
    </xf>
    <xf numFmtId="0" fontId="59" fillId="34" borderId="18" xfId="0" applyFont="1" applyFill="1" applyBorder="1" applyAlignment="1">
      <alignment horizontal="left" vertical="top"/>
    </xf>
    <xf numFmtId="0" fontId="59" fillId="34" borderId="87" xfId="0" applyFont="1" applyFill="1" applyBorder="1" applyAlignment="1">
      <alignment horizontal="left" vertical="top"/>
    </xf>
    <xf numFmtId="0" fontId="59" fillId="34" borderId="19" xfId="0" applyFont="1" applyFill="1" applyBorder="1" applyAlignment="1">
      <alignment horizontal="left" vertical="top"/>
    </xf>
    <xf numFmtId="0" fontId="59" fillId="34" borderId="15" xfId="0" applyFont="1" applyFill="1" applyBorder="1" applyAlignment="1">
      <alignment horizontal="left" vertical="top"/>
    </xf>
    <xf numFmtId="0" fontId="59" fillId="34" borderId="16" xfId="0" applyFont="1" applyFill="1" applyBorder="1" applyAlignment="1">
      <alignment horizontal="left" vertical="top"/>
    </xf>
    <xf numFmtId="0" fontId="59" fillId="34" borderId="20" xfId="0" applyFont="1" applyFill="1" applyBorder="1" applyAlignment="1">
      <alignment horizontal="left" vertical="top"/>
    </xf>
    <xf numFmtId="0" fontId="34" fillId="38" borderId="11" xfId="0" applyFont="1" applyFill="1" applyBorder="1" applyAlignment="1">
      <alignment horizontal="center" vertical="top"/>
    </xf>
    <xf numFmtId="0" fontId="16" fillId="38" borderId="41" xfId="0" applyFont="1" applyFill="1" applyBorder="1" applyAlignment="1">
      <alignment horizontal="center" vertical="top"/>
    </xf>
    <xf numFmtId="0" fontId="35" fillId="38" borderId="42" xfId="0" applyFont="1" applyFill="1" applyBorder="1" applyAlignment="1">
      <alignment horizontal="left" vertical="top"/>
    </xf>
    <xf numFmtId="0" fontId="35" fillId="38" borderId="14" xfId="0" applyFont="1" applyFill="1" applyBorder="1" applyAlignment="1">
      <alignment horizontal="left" vertical="top"/>
    </xf>
    <xf numFmtId="0" fontId="36" fillId="38" borderId="42" xfId="0" applyFont="1" applyFill="1" applyBorder="1" applyAlignment="1">
      <alignment vertical="top" wrapText="1"/>
    </xf>
    <xf numFmtId="0" fontId="0" fillId="38" borderId="14" xfId="0" applyFill="1" applyBorder="1" applyAlignment="1">
      <alignment vertical="top" wrapText="1"/>
    </xf>
    <xf numFmtId="0" fontId="64" fillId="34" borderId="0" xfId="0" applyFont="1" applyFill="1"/>
    <xf numFmtId="0" fontId="65" fillId="34" borderId="16" xfId="0" applyFont="1" applyFill="1" applyBorder="1" applyAlignment="1">
      <alignment horizontal="center" vertical="top" wrapText="1"/>
    </xf>
  </cellXfs>
  <cellStyles count="22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3 2" xfId="43" xr:uid="{00000000-0005-0000-0000-000015000000}"/>
    <cellStyle name="Accent3 3" xfId="44" xr:uid="{00000000-0005-0000-0000-000016000000}"/>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23 3" xfId="45" xr:uid="{00000000-0005-0000-0000-00001E000000}"/>
    <cellStyle name="Comma 2" xfId="46" xr:uid="{00000000-0005-0000-0000-00001F000000}"/>
    <cellStyle name="Comma 2 10" xfId="47" xr:uid="{00000000-0005-0000-0000-000020000000}"/>
    <cellStyle name="Comma 2 11" xfId="48" xr:uid="{00000000-0005-0000-0000-000021000000}"/>
    <cellStyle name="Comma 2 12" xfId="49" xr:uid="{00000000-0005-0000-0000-000022000000}"/>
    <cellStyle name="Comma 2 13" xfId="50" xr:uid="{00000000-0005-0000-0000-000023000000}"/>
    <cellStyle name="Comma 2 14" xfId="51" xr:uid="{00000000-0005-0000-0000-000024000000}"/>
    <cellStyle name="Comma 2 15" xfId="52" xr:uid="{00000000-0005-0000-0000-000025000000}"/>
    <cellStyle name="Comma 2 16" xfId="53" xr:uid="{00000000-0005-0000-0000-000026000000}"/>
    <cellStyle name="Comma 2 17" xfId="54" xr:uid="{00000000-0005-0000-0000-000027000000}"/>
    <cellStyle name="Comma 2 18" xfId="55" xr:uid="{00000000-0005-0000-0000-000028000000}"/>
    <cellStyle name="Comma 2 19" xfId="56" xr:uid="{00000000-0005-0000-0000-000029000000}"/>
    <cellStyle name="Comma 2 2" xfId="57" xr:uid="{00000000-0005-0000-0000-00002A000000}"/>
    <cellStyle name="Comma 2 20" xfId="58" xr:uid="{00000000-0005-0000-0000-00002B000000}"/>
    <cellStyle name="Comma 2 21" xfId="59" xr:uid="{00000000-0005-0000-0000-00002C000000}"/>
    <cellStyle name="Comma 2 22" xfId="60" xr:uid="{00000000-0005-0000-0000-00002D000000}"/>
    <cellStyle name="Comma 2 23" xfId="61" xr:uid="{00000000-0005-0000-0000-00002E000000}"/>
    <cellStyle name="Comma 2 24" xfId="62" xr:uid="{00000000-0005-0000-0000-00002F000000}"/>
    <cellStyle name="Comma 2 25" xfId="63" xr:uid="{00000000-0005-0000-0000-000030000000}"/>
    <cellStyle name="Comma 2 26" xfId="64" xr:uid="{00000000-0005-0000-0000-000031000000}"/>
    <cellStyle name="Comma 2 27" xfId="65" xr:uid="{00000000-0005-0000-0000-000032000000}"/>
    <cellStyle name="Comma 2 28" xfId="66" xr:uid="{00000000-0005-0000-0000-000033000000}"/>
    <cellStyle name="Comma 2 29" xfId="67" xr:uid="{00000000-0005-0000-0000-000034000000}"/>
    <cellStyle name="Comma 2 3" xfId="68" xr:uid="{00000000-0005-0000-0000-000035000000}"/>
    <cellStyle name="Comma 2 30" xfId="69" xr:uid="{00000000-0005-0000-0000-000036000000}"/>
    <cellStyle name="Comma 2 31" xfId="70" xr:uid="{00000000-0005-0000-0000-000037000000}"/>
    <cellStyle name="Comma 2 32" xfId="71" xr:uid="{00000000-0005-0000-0000-000038000000}"/>
    <cellStyle name="Comma 2 33" xfId="72" xr:uid="{00000000-0005-0000-0000-000039000000}"/>
    <cellStyle name="Comma 2 34" xfId="73" xr:uid="{00000000-0005-0000-0000-00003A000000}"/>
    <cellStyle name="Comma 2 35" xfId="74" xr:uid="{00000000-0005-0000-0000-00003B000000}"/>
    <cellStyle name="Comma 2 36" xfId="75" xr:uid="{00000000-0005-0000-0000-00003C000000}"/>
    <cellStyle name="Comma 2 37" xfId="76" xr:uid="{00000000-0005-0000-0000-00003D000000}"/>
    <cellStyle name="Comma 2 38" xfId="77" xr:uid="{00000000-0005-0000-0000-00003E000000}"/>
    <cellStyle name="Comma 2 39" xfId="78" xr:uid="{00000000-0005-0000-0000-00003F000000}"/>
    <cellStyle name="Comma 2 4" xfId="79" xr:uid="{00000000-0005-0000-0000-000040000000}"/>
    <cellStyle name="Comma 2 5" xfId="80" xr:uid="{00000000-0005-0000-0000-000041000000}"/>
    <cellStyle name="Comma 2 6" xfId="81" xr:uid="{00000000-0005-0000-0000-000042000000}"/>
    <cellStyle name="Comma 2 7" xfId="82" xr:uid="{00000000-0005-0000-0000-000043000000}"/>
    <cellStyle name="Comma 2 8" xfId="83" xr:uid="{00000000-0005-0000-0000-000044000000}"/>
    <cellStyle name="Comma 2 9" xfId="84" xr:uid="{00000000-0005-0000-0000-000045000000}"/>
    <cellStyle name="Comma 25" xfId="85" xr:uid="{00000000-0005-0000-0000-000046000000}"/>
    <cellStyle name="Comma 3" xfId="86" xr:uid="{00000000-0005-0000-0000-000047000000}"/>
    <cellStyle name="Comma 3 2" xfId="87" xr:uid="{00000000-0005-0000-0000-000048000000}"/>
    <cellStyle name="Comma 8" xfId="88" xr:uid="{00000000-0005-0000-0000-000049000000}"/>
    <cellStyle name="Currency 2" xfId="89" xr:uid="{00000000-0005-0000-0000-00004B000000}"/>
    <cellStyle name="Currency 2 2" xfId="90" xr:uid="{00000000-0005-0000-0000-00004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91" xr:uid="{00000000-0005-0000-0000-000057000000}"/>
    <cellStyle name="Normal 11" xfId="92" xr:uid="{00000000-0005-0000-0000-000058000000}"/>
    <cellStyle name="Normal 12" xfId="93" xr:uid="{00000000-0005-0000-0000-000059000000}"/>
    <cellStyle name="Normal 13" xfId="94" xr:uid="{00000000-0005-0000-0000-00005A000000}"/>
    <cellStyle name="Normal 14" xfId="95" xr:uid="{00000000-0005-0000-0000-00005B000000}"/>
    <cellStyle name="Normal 15" xfId="96" xr:uid="{00000000-0005-0000-0000-00005C000000}"/>
    <cellStyle name="Normal 16" xfId="97" xr:uid="{00000000-0005-0000-0000-00005D000000}"/>
    <cellStyle name="Normal 17" xfId="98" xr:uid="{00000000-0005-0000-0000-00005E000000}"/>
    <cellStyle name="Normal 18" xfId="99" xr:uid="{00000000-0005-0000-0000-00005F000000}"/>
    <cellStyle name="Normal 19" xfId="100" xr:uid="{00000000-0005-0000-0000-000060000000}"/>
    <cellStyle name="Normal 2" xfId="101" xr:uid="{00000000-0005-0000-0000-000061000000}"/>
    <cellStyle name="Normal 2 10" xfId="102" xr:uid="{00000000-0005-0000-0000-000062000000}"/>
    <cellStyle name="Normal 2 11" xfId="103" xr:uid="{00000000-0005-0000-0000-000063000000}"/>
    <cellStyle name="Normal 2 12" xfId="104" xr:uid="{00000000-0005-0000-0000-000064000000}"/>
    <cellStyle name="Normal 2 13" xfId="105" xr:uid="{00000000-0005-0000-0000-000065000000}"/>
    <cellStyle name="Normal 2 14" xfId="106" xr:uid="{00000000-0005-0000-0000-000066000000}"/>
    <cellStyle name="Normal 2 15" xfId="107" xr:uid="{00000000-0005-0000-0000-000067000000}"/>
    <cellStyle name="Normal 2 16" xfId="108" xr:uid="{00000000-0005-0000-0000-000068000000}"/>
    <cellStyle name="Normal 2 17" xfId="109" xr:uid="{00000000-0005-0000-0000-000069000000}"/>
    <cellStyle name="Normal 2 18" xfId="110" xr:uid="{00000000-0005-0000-0000-00006A000000}"/>
    <cellStyle name="Normal 2 19" xfId="111" xr:uid="{00000000-0005-0000-0000-00006B000000}"/>
    <cellStyle name="Normal 2 2" xfId="112" xr:uid="{00000000-0005-0000-0000-00006C000000}"/>
    <cellStyle name="Normal 2 20" xfId="113" xr:uid="{00000000-0005-0000-0000-00006D000000}"/>
    <cellStyle name="Normal 2 21" xfId="114" xr:uid="{00000000-0005-0000-0000-00006E000000}"/>
    <cellStyle name="Normal 2 22" xfId="115" xr:uid="{00000000-0005-0000-0000-00006F000000}"/>
    <cellStyle name="Normal 2 23" xfId="116" xr:uid="{00000000-0005-0000-0000-000070000000}"/>
    <cellStyle name="Normal 2 24" xfId="117" xr:uid="{00000000-0005-0000-0000-000071000000}"/>
    <cellStyle name="Normal 2 25" xfId="118" xr:uid="{00000000-0005-0000-0000-000072000000}"/>
    <cellStyle name="Normal 2 26" xfId="119" xr:uid="{00000000-0005-0000-0000-000073000000}"/>
    <cellStyle name="Normal 2 27" xfId="120" xr:uid="{00000000-0005-0000-0000-000074000000}"/>
    <cellStyle name="Normal 2 28" xfId="121" xr:uid="{00000000-0005-0000-0000-000075000000}"/>
    <cellStyle name="Normal 2 29" xfId="122" xr:uid="{00000000-0005-0000-0000-000076000000}"/>
    <cellStyle name="Normal 2 3" xfId="123" xr:uid="{00000000-0005-0000-0000-000077000000}"/>
    <cellStyle name="Normal 2 30" xfId="124" xr:uid="{00000000-0005-0000-0000-000078000000}"/>
    <cellStyle name="Normal 2 4" xfId="125" xr:uid="{00000000-0005-0000-0000-000079000000}"/>
    <cellStyle name="Normal 2 5" xfId="126" xr:uid="{00000000-0005-0000-0000-00007A000000}"/>
    <cellStyle name="Normal 2 6" xfId="127" xr:uid="{00000000-0005-0000-0000-00007B000000}"/>
    <cellStyle name="Normal 2 7" xfId="128" xr:uid="{00000000-0005-0000-0000-00007C000000}"/>
    <cellStyle name="Normal 2 8" xfId="129" xr:uid="{00000000-0005-0000-0000-00007D000000}"/>
    <cellStyle name="Normal 2 9" xfId="130" xr:uid="{00000000-0005-0000-0000-00007E000000}"/>
    <cellStyle name="Normal 20" xfId="131" xr:uid="{00000000-0005-0000-0000-00007F000000}"/>
    <cellStyle name="Normal 21" xfId="132" xr:uid="{00000000-0005-0000-0000-000080000000}"/>
    <cellStyle name="Normal 22" xfId="133" xr:uid="{00000000-0005-0000-0000-000081000000}"/>
    <cellStyle name="Normal 23" xfId="134" xr:uid="{00000000-0005-0000-0000-000082000000}"/>
    <cellStyle name="Normal 24" xfId="135" xr:uid="{00000000-0005-0000-0000-000083000000}"/>
    <cellStyle name="Normal 25" xfId="136" xr:uid="{00000000-0005-0000-0000-000084000000}"/>
    <cellStyle name="Normal 26" xfId="137" xr:uid="{00000000-0005-0000-0000-000085000000}"/>
    <cellStyle name="Normal 27" xfId="138" xr:uid="{00000000-0005-0000-0000-000086000000}"/>
    <cellStyle name="Normal 28" xfId="139" xr:uid="{00000000-0005-0000-0000-000087000000}"/>
    <cellStyle name="Normal 29" xfId="140" xr:uid="{00000000-0005-0000-0000-000088000000}"/>
    <cellStyle name="Normal 3" xfId="141" xr:uid="{00000000-0005-0000-0000-000089000000}"/>
    <cellStyle name="Normal 30" xfId="142" xr:uid="{00000000-0005-0000-0000-00008A000000}"/>
    <cellStyle name="Normal 31" xfId="143" xr:uid="{00000000-0005-0000-0000-00008B000000}"/>
    <cellStyle name="Normal 32" xfId="144" xr:uid="{00000000-0005-0000-0000-00008C000000}"/>
    <cellStyle name="Normal 33" xfId="145" xr:uid="{00000000-0005-0000-0000-00008D000000}"/>
    <cellStyle name="Normal 34" xfId="146" xr:uid="{00000000-0005-0000-0000-00008E000000}"/>
    <cellStyle name="Normal 35" xfId="147" xr:uid="{00000000-0005-0000-0000-00008F000000}"/>
    <cellStyle name="Normal 36" xfId="148" xr:uid="{00000000-0005-0000-0000-000090000000}"/>
    <cellStyle name="Normal 37" xfId="149" xr:uid="{00000000-0005-0000-0000-000091000000}"/>
    <cellStyle name="Normal 38" xfId="150" xr:uid="{00000000-0005-0000-0000-000092000000}"/>
    <cellStyle name="Normal 39" xfId="151" xr:uid="{00000000-0005-0000-0000-000093000000}"/>
    <cellStyle name="Normal 4" xfId="152" xr:uid="{00000000-0005-0000-0000-000094000000}"/>
    <cellStyle name="Normal 42" xfId="153" xr:uid="{00000000-0005-0000-0000-000095000000}"/>
    <cellStyle name="Normal 44" xfId="154" xr:uid="{00000000-0005-0000-0000-000096000000}"/>
    <cellStyle name="Normal 45" xfId="155" xr:uid="{00000000-0005-0000-0000-000097000000}"/>
    <cellStyle name="Normal 46" xfId="156" xr:uid="{00000000-0005-0000-0000-000098000000}"/>
    <cellStyle name="Normal 49" xfId="157" xr:uid="{00000000-0005-0000-0000-000099000000}"/>
    <cellStyle name="Normal 5" xfId="158" xr:uid="{00000000-0005-0000-0000-00009A000000}"/>
    <cellStyle name="Normal 50" xfId="159" xr:uid="{00000000-0005-0000-0000-00009B000000}"/>
    <cellStyle name="Normal 51" xfId="160" xr:uid="{00000000-0005-0000-0000-00009C000000}"/>
    <cellStyle name="Normal 52" xfId="161" xr:uid="{00000000-0005-0000-0000-00009D000000}"/>
    <cellStyle name="Normal 53" xfId="162" xr:uid="{00000000-0005-0000-0000-00009E000000}"/>
    <cellStyle name="Normal 54" xfId="163" xr:uid="{00000000-0005-0000-0000-00009F000000}"/>
    <cellStyle name="Normal 55" xfId="164" xr:uid="{00000000-0005-0000-0000-0000A0000000}"/>
    <cellStyle name="Normal 57" xfId="165" xr:uid="{00000000-0005-0000-0000-0000A1000000}"/>
    <cellStyle name="Normal 58" xfId="166" xr:uid="{00000000-0005-0000-0000-0000A2000000}"/>
    <cellStyle name="Normal 59" xfId="167" xr:uid="{00000000-0005-0000-0000-0000A3000000}"/>
    <cellStyle name="Normal 6" xfId="168" xr:uid="{00000000-0005-0000-0000-0000A4000000}"/>
    <cellStyle name="Normal 60" xfId="169" xr:uid="{00000000-0005-0000-0000-0000A5000000}"/>
    <cellStyle name="Normal 62" xfId="170" xr:uid="{00000000-0005-0000-0000-0000A6000000}"/>
    <cellStyle name="Normal 63" xfId="171" xr:uid="{00000000-0005-0000-0000-0000A7000000}"/>
    <cellStyle name="Normal 64" xfId="172" xr:uid="{00000000-0005-0000-0000-0000A8000000}"/>
    <cellStyle name="Normal 65" xfId="173" xr:uid="{00000000-0005-0000-0000-0000A9000000}"/>
    <cellStyle name="Normal 66" xfId="174" xr:uid="{00000000-0005-0000-0000-0000AA000000}"/>
    <cellStyle name="Normal 68" xfId="175" xr:uid="{00000000-0005-0000-0000-0000AB000000}"/>
    <cellStyle name="Normal 7" xfId="176" xr:uid="{00000000-0005-0000-0000-0000AC000000}"/>
    <cellStyle name="Normal 72" xfId="177" xr:uid="{00000000-0005-0000-0000-0000AD000000}"/>
    <cellStyle name="Normal 73" xfId="178" xr:uid="{00000000-0005-0000-0000-0000AE000000}"/>
    <cellStyle name="Normal 74" xfId="179" xr:uid="{00000000-0005-0000-0000-0000AF000000}"/>
    <cellStyle name="Normal 76" xfId="180" xr:uid="{00000000-0005-0000-0000-0000B0000000}"/>
    <cellStyle name="Normal 79" xfId="181" xr:uid="{00000000-0005-0000-0000-0000B1000000}"/>
    <cellStyle name="Normal 8" xfId="182" xr:uid="{00000000-0005-0000-0000-0000B2000000}"/>
    <cellStyle name="Normal 80" xfId="183" xr:uid="{00000000-0005-0000-0000-0000B3000000}"/>
    <cellStyle name="Normal 81" xfId="184" xr:uid="{00000000-0005-0000-0000-0000B4000000}"/>
    <cellStyle name="Normal 82" xfId="185" xr:uid="{00000000-0005-0000-0000-0000B5000000}"/>
    <cellStyle name="Normal 83" xfId="186" xr:uid="{00000000-0005-0000-0000-0000B6000000}"/>
    <cellStyle name="Normal 84" xfId="187" xr:uid="{00000000-0005-0000-0000-0000B7000000}"/>
    <cellStyle name="Normal 85" xfId="188" xr:uid="{00000000-0005-0000-0000-0000B8000000}"/>
    <cellStyle name="Normal 86" xfId="189" xr:uid="{00000000-0005-0000-0000-0000B9000000}"/>
    <cellStyle name="Normal 89" xfId="190" xr:uid="{00000000-0005-0000-0000-0000BA000000}"/>
    <cellStyle name="Normal 9" xfId="191" xr:uid="{00000000-0005-0000-0000-0000BB000000}"/>
    <cellStyle name="Normal 90" xfId="192" xr:uid="{00000000-0005-0000-0000-0000BC000000}"/>
    <cellStyle name="Normal 94" xfId="193" xr:uid="{00000000-0005-0000-0000-0000BD000000}"/>
    <cellStyle name="Note" xfId="16" builtinId="10" customBuiltin="1"/>
    <cellStyle name="Output" xfId="11" builtinId="21" customBuiltin="1"/>
    <cellStyle name="Percent" xfId="223" builtinId="5"/>
    <cellStyle name="Percent 10" xfId="194" xr:uid="{00000000-0005-0000-0000-0000C1000000}"/>
    <cellStyle name="Percent 11" xfId="195" xr:uid="{00000000-0005-0000-0000-0000C2000000}"/>
    <cellStyle name="Percent 12" xfId="196" xr:uid="{00000000-0005-0000-0000-0000C3000000}"/>
    <cellStyle name="Percent 13" xfId="197" xr:uid="{00000000-0005-0000-0000-0000C4000000}"/>
    <cellStyle name="Percent 14" xfId="198" xr:uid="{00000000-0005-0000-0000-0000C5000000}"/>
    <cellStyle name="Percent 15" xfId="199" xr:uid="{00000000-0005-0000-0000-0000C6000000}"/>
    <cellStyle name="Percent 16" xfId="200" xr:uid="{00000000-0005-0000-0000-0000C7000000}"/>
    <cellStyle name="Percent 17" xfId="201" xr:uid="{00000000-0005-0000-0000-0000C8000000}"/>
    <cellStyle name="Percent 18" xfId="202" xr:uid="{00000000-0005-0000-0000-0000C9000000}"/>
    <cellStyle name="Percent 19" xfId="203" xr:uid="{00000000-0005-0000-0000-0000CA000000}"/>
    <cellStyle name="Percent 2" xfId="204" xr:uid="{00000000-0005-0000-0000-0000CB000000}"/>
    <cellStyle name="Percent 20" xfId="205" xr:uid="{00000000-0005-0000-0000-0000CC000000}"/>
    <cellStyle name="Percent 21" xfId="206" xr:uid="{00000000-0005-0000-0000-0000CD000000}"/>
    <cellStyle name="Percent 22" xfId="207" xr:uid="{00000000-0005-0000-0000-0000CE000000}"/>
    <cellStyle name="Percent 23" xfId="208" xr:uid="{00000000-0005-0000-0000-0000CF000000}"/>
    <cellStyle name="Percent 24" xfId="209" xr:uid="{00000000-0005-0000-0000-0000D0000000}"/>
    <cellStyle name="Percent 25" xfId="210" xr:uid="{00000000-0005-0000-0000-0000D1000000}"/>
    <cellStyle name="Percent 26" xfId="211" xr:uid="{00000000-0005-0000-0000-0000D2000000}"/>
    <cellStyle name="Percent 27" xfId="212" xr:uid="{00000000-0005-0000-0000-0000D3000000}"/>
    <cellStyle name="Percent 28" xfId="213" xr:uid="{00000000-0005-0000-0000-0000D4000000}"/>
    <cellStyle name="Percent 29" xfId="214" xr:uid="{00000000-0005-0000-0000-0000D5000000}"/>
    <cellStyle name="Percent 3" xfId="215" xr:uid="{00000000-0005-0000-0000-0000D6000000}"/>
    <cellStyle name="Percent 30" xfId="216" xr:uid="{00000000-0005-0000-0000-0000D7000000}"/>
    <cellStyle name="Percent 4" xfId="217" xr:uid="{00000000-0005-0000-0000-0000D8000000}"/>
    <cellStyle name="Percent 5" xfId="218" xr:uid="{00000000-0005-0000-0000-0000D9000000}"/>
    <cellStyle name="Percent 6" xfId="219" xr:uid="{00000000-0005-0000-0000-0000DA000000}"/>
    <cellStyle name="Percent 7" xfId="220" xr:uid="{00000000-0005-0000-0000-0000DB000000}"/>
    <cellStyle name="Percent 8" xfId="221" xr:uid="{00000000-0005-0000-0000-0000DC000000}"/>
    <cellStyle name="Percent 9" xfId="222" xr:uid="{00000000-0005-0000-0000-0000DD000000}"/>
    <cellStyle name="Title" xfId="2" builtinId="15" customBuiltin="1"/>
    <cellStyle name="Total" xfId="18" builtinId="25" customBuiltin="1"/>
    <cellStyle name="Warning Text" xfId="15" builtinId="11" customBuiltin="1"/>
  </cellStyles>
  <dxfs count="2">
    <dxf>
      <font>
        <b/>
        <i val="0"/>
        <color rgb="FFFF0000"/>
      </font>
    </dxf>
    <dxf>
      <font>
        <b/>
        <i val="0"/>
        <color rgb="FFFF0000"/>
      </font>
    </dxf>
  </dxfs>
  <tableStyles count="0" defaultTableStyle="TableStyleMedium2" defaultPivotStyle="PivotStyleLight16"/>
  <colors>
    <mruColors>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150019</xdr:rowOff>
    </xdr:from>
    <xdr:to>
      <xdr:col>13</xdr:col>
      <xdr:colOff>1422401</xdr:colOff>
      <xdr:row>41</xdr:row>
      <xdr:rowOff>64294</xdr:rowOff>
    </xdr:to>
    <xdr:grpSp>
      <xdr:nvGrpSpPr>
        <xdr:cNvPr id="11" name="Group 11">
          <a:extLst>
            <a:ext uri="{FF2B5EF4-FFF2-40B4-BE49-F238E27FC236}">
              <a16:creationId xmlns:a16="http://schemas.microsoft.com/office/drawing/2014/main" id="{00000000-0008-0000-0000-00000B000000}"/>
            </a:ext>
          </a:extLst>
        </xdr:cNvPr>
        <xdr:cNvGrpSpPr>
          <a:grpSpLocks/>
        </xdr:cNvGrpSpPr>
      </xdr:nvGrpSpPr>
      <xdr:grpSpPr bwMode="auto">
        <a:xfrm>
          <a:off x="228600" y="327819"/>
          <a:ext cx="9118601" cy="7026275"/>
          <a:chOff x="-139222" y="0"/>
          <a:chExt cx="9036087" cy="6591672"/>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39222" y="0"/>
            <a:ext cx="9036087"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13" name="TextBox 4">
            <a:extLst>
              <a:ext uri="{FF2B5EF4-FFF2-40B4-BE49-F238E27FC236}">
                <a16:creationId xmlns:a16="http://schemas.microsoft.com/office/drawing/2014/main" id="{00000000-0008-0000-0000-00000D000000}"/>
              </a:ext>
            </a:extLst>
          </xdr:cNvPr>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14" name="Picture 15">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lum bright="24000" contrast="20000"/>
          </a:blip>
          <a:srcRect/>
          <a:stretch>
            <a:fillRect/>
          </a:stretch>
        </xdr:blipFill>
        <xdr:spPr bwMode="auto">
          <a:xfrm>
            <a:off x="7110930" y="4391612"/>
            <a:ext cx="1620837" cy="1567849"/>
          </a:xfrm>
          <a:prstGeom prst="rect">
            <a:avLst/>
          </a:prstGeom>
          <a:noFill/>
          <a:ln w="9525">
            <a:noFill/>
            <a:miter lim="800000"/>
            <a:headEnd/>
            <a:tailEnd/>
          </a:ln>
        </xdr:spPr>
      </xdr:pic>
      <xdr:pic>
        <xdr:nvPicPr>
          <xdr:cNvPr id="15" name="Picture 16" descr="family">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7569" y="3052334"/>
            <a:ext cx="1762125" cy="1467961"/>
          </a:xfrm>
          <a:prstGeom prst="rect">
            <a:avLst/>
          </a:prstGeom>
          <a:noFill/>
          <a:ln w="9525">
            <a:noFill/>
            <a:miter lim="800000"/>
            <a:headEnd/>
            <a:tailEnd/>
          </a:ln>
        </xdr:spPr>
      </xdr:pic>
      <xdr:pic>
        <xdr:nvPicPr>
          <xdr:cNvPr id="16" name="Picture 17" descr="ENCEPHALARTOS_TRANSVENOSUS5_FCONE-0126200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a:lum bright="34000" contrast="32000"/>
          </a:blip>
          <a:srcRect/>
          <a:stretch>
            <a:fillRect/>
          </a:stretch>
        </xdr:blipFill>
        <xdr:spPr bwMode="auto">
          <a:xfrm>
            <a:off x="89920" y="4533676"/>
            <a:ext cx="1785938" cy="1401956"/>
          </a:xfrm>
          <a:prstGeom prst="rect">
            <a:avLst/>
          </a:prstGeom>
          <a:noFill/>
          <a:ln w="9525">
            <a:noFill/>
            <a:miter lim="800000"/>
            <a:headEnd/>
            <a:tailEnd/>
          </a:ln>
        </xdr:spPr>
      </xdr:pic>
      <xdr:sp macro="" textlink="">
        <xdr:nvSpPr>
          <xdr:cNvPr id="17" name="TextBox 10">
            <a:extLst>
              <a:ext uri="{FF2B5EF4-FFF2-40B4-BE49-F238E27FC236}">
                <a16:creationId xmlns:a16="http://schemas.microsoft.com/office/drawing/2014/main" id="{00000000-0008-0000-0000-000011000000}"/>
              </a:ext>
            </a:extLst>
          </xdr:cNvPr>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800" b="1">
              <a:latin typeface="Calibri" pitchFamily="34" charset="0"/>
              <a:cs typeface="Arial" pitchFamily="34" charset="0"/>
            </a:endParaRPr>
          </a:p>
          <a:p>
            <a:pPr algn="ctr">
              <a:lnSpc>
                <a:spcPts val="2500"/>
              </a:lnSpc>
              <a:defRPr/>
            </a:pPr>
            <a:r>
              <a:rPr lang="en-GB" sz="2800" b="1" i="0">
                <a:latin typeface="Bell MT" pitchFamily="18" charset="0"/>
                <a:cs typeface="Arial" pitchFamily="34" charset="0"/>
              </a:rPr>
              <a:t>  2019/2020</a:t>
            </a:r>
          </a:p>
          <a:p>
            <a:pPr algn="ctr">
              <a:lnSpc>
                <a:spcPts val="2500"/>
              </a:lnSpc>
              <a:defRPr/>
            </a:pPr>
            <a:endParaRPr lang="en-ZA" sz="2800">
              <a:effectLst/>
              <a:latin typeface="Bell MT" panose="02020503060305020303" pitchFamily="18" charset="0"/>
            </a:endParaRPr>
          </a:p>
          <a:p>
            <a:pPr algn="ctr">
              <a:lnSpc>
                <a:spcPts val="2500"/>
              </a:lnSpc>
              <a:defRPr/>
            </a:pPr>
            <a:r>
              <a:rPr lang="en-GB" sz="2800" b="1" i="0">
                <a:latin typeface="Bell MT" pitchFamily="18" charset="0"/>
                <a:cs typeface="Arial" pitchFamily="34" charset="0"/>
              </a:rPr>
              <a:t>REVIEWED</a:t>
            </a:r>
            <a:r>
              <a:rPr lang="en-GB" sz="2800" b="1" i="0" baseline="0">
                <a:latin typeface="Bell MT" pitchFamily="18" charset="0"/>
                <a:cs typeface="Arial" pitchFamily="34" charset="0"/>
              </a:rPr>
              <a:t> </a:t>
            </a:r>
            <a:r>
              <a:rPr lang="en-GB" sz="2800" b="1" i="0">
                <a:latin typeface="Bell MT" pitchFamily="18" charset="0"/>
                <a:cs typeface="Arial" pitchFamily="34" charset="0"/>
              </a:rPr>
              <a:t>SERVICE DELIVERY BUDGET IMPLEMENTATION PLAN </a:t>
            </a:r>
            <a:endParaRPr lang="en-ZA" sz="2800" b="1">
              <a:latin typeface="Calibri" pitchFamily="34" charset="0"/>
              <a:cs typeface="Arial" pitchFamily="34" charset="0"/>
            </a:endParaRPr>
          </a:p>
        </xdr:txBody>
      </xdr:sp>
      <xdr:pic>
        <xdr:nvPicPr>
          <xdr:cNvPr id="18" name="Picture 19" descr="ENCEPHALARTOS_TRANSVENOSUS5_FCONE-01262005">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twoCellAnchor>
    <xdr:from>
      <xdr:col>5</xdr:col>
      <xdr:colOff>502444</xdr:colOff>
      <xdr:row>9</xdr:row>
      <xdr:rowOff>145652</xdr:rowOff>
    </xdr:from>
    <xdr:to>
      <xdr:col>8</xdr:col>
      <xdr:colOff>447675</xdr:colOff>
      <xdr:row>19</xdr:row>
      <xdr:rowOff>173270</xdr:rowOff>
    </xdr:to>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50444" y="1860152"/>
          <a:ext cx="1774031" cy="19326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myn\Desktop\LIM332%20B%20Schedule%20-%20mSCOA%20Ver6.2%20February%20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mmyn\Downloads\B%20Schedule%20-%20mSCOA%20vs%206%203%20-%20Special%20Adjustment%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immyn\Desktop\SDBIP\SDBIP%202020\A1%20Schedule%20-%20mSCOA%20vs%206.3%20-%2028%20March%20%20201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immyn\Desktop\SDBIP\LIM332%20B%20Schedule%20-%20mSCOA%20Ver6.2%20Additional%20Fund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INTRO"/>
      <sheetName val="METHODOLOGY"/>
      <sheetName val="STRATEGY"/>
      <sheetName val="OPERATIONAL STRATEIES"/>
      <sheetName val="Table A3"/>
      <sheetName val="Table A4"/>
      <sheetName val="Table A5"/>
      <sheetName val="SA 26"/>
      <sheetName val="SA 27"/>
      <sheetName val="SA 28"/>
      <sheetName val="MTOD KPI"/>
      <sheetName val="BSD KPI"/>
      <sheetName val="LED KPI"/>
      <sheetName val="MFMV KPI"/>
      <sheetName val="GGPP KPI"/>
      <sheetName val="CWP 2019-2020"/>
      <sheetName val="MTOD Annextue A"/>
      <sheetName val="BSD Annexture B"/>
      <sheetName val="LED Annexture C"/>
      <sheetName val="MFMV Annexture D"/>
      <sheetName val="GGPP Annexture E"/>
      <sheetName val="Removed Projects"/>
      <sheetName val="Signature"/>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Table B3"/>
      <sheetName val="Table B4"/>
      <sheetName val="Table B5"/>
      <sheetName val="SB 12"/>
      <sheetName val="SB 14"/>
      <sheetName val="SB 16"/>
      <sheetName val="CWP 2018-2019"/>
      <sheetName val="Projects removed"/>
      <sheetName val="SIGNATURES"/>
    </sheetNames>
    <sheetDataSet>
      <sheetData sheetId="0" refreshError="1">
        <row r="5">
          <cell r="B5"/>
        </row>
        <row r="11">
          <cell r="B11"/>
        </row>
        <row r="13">
          <cell r="B13"/>
        </row>
        <row r="14">
          <cell r="B14"/>
        </row>
        <row r="16">
          <cell r="B16"/>
        </row>
        <row r="17">
          <cell r="B17"/>
        </row>
        <row r="18">
          <cell r="B18"/>
        </row>
        <row r="19">
          <cell r="B19"/>
        </row>
        <row r="21">
          <cell r="B21"/>
        </row>
        <row r="22">
          <cell r="B22"/>
        </row>
      </sheetData>
      <sheetData sheetId="1" refreshError="1"/>
      <sheetData sheetId="2" refreshError="1"/>
      <sheetData sheetId="3" refreshError="1"/>
      <sheetData sheetId="4" refreshError="1"/>
      <sheetData sheetId="5" refreshError="1"/>
      <sheetData sheetId="6"/>
      <sheetData sheetId="7">
        <row r="5">
          <cell r="B5">
            <v>2</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s>
    <sheetDataSet>
      <sheetData sheetId="0"/>
      <sheetData sheetId="1"/>
      <sheetData sheetId="2">
        <row r="89">
          <cell r="B89" t="str">
            <v>Supporting Table SB13 Adjustments Budget - monthly revenue and expenditure (functional classification)</v>
          </cell>
        </row>
      </sheetData>
      <sheetData sheetId="3"/>
      <sheetData sheetId="4">
        <row r="2">
          <cell r="A2" t="str">
            <v>Vote 1 - Executive &amp; Council</v>
          </cell>
        </row>
        <row r="3">
          <cell r="A3" t="str">
            <v>Vote 2 - Finance and Administration</v>
          </cell>
          <cell r="E3" t="str">
            <v>1.1 - Mayor and Council</v>
          </cell>
        </row>
        <row r="4">
          <cell r="A4" t="str">
            <v>Vote 3 - Internal Audit</v>
          </cell>
          <cell r="E4" t="str">
            <v>1.2 - Municipal Manager</v>
          </cell>
        </row>
        <row r="5">
          <cell r="A5" t="str">
            <v>Vote 4 - Community and Public Safety</v>
          </cell>
        </row>
        <row r="6">
          <cell r="A6" t="str">
            <v>Vote 5 - Sports and Recreation</v>
          </cell>
        </row>
        <row r="7">
          <cell r="A7" t="str">
            <v>Vote 6 - Housing</v>
          </cell>
        </row>
        <row r="8">
          <cell r="A8" t="str">
            <v xml:space="preserve">Vote 7 - Planning and development </v>
          </cell>
        </row>
        <row r="9">
          <cell r="A9" t="str">
            <v>Vote 8 - Road Transport</v>
          </cell>
        </row>
        <row r="10">
          <cell r="A10" t="str">
            <v>Vote 9 - Energy Sources</v>
          </cell>
        </row>
        <row r="11">
          <cell r="A11" t="str">
            <v>Vote 10 - Waste Water Management</v>
          </cell>
        </row>
        <row r="12">
          <cell r="A12" t="str">
            <v>Vote 11 - Waste Management</v>
          </cell>
        </row>
        <row r="13">
          <cell r="A13" t="str">
            <v>Vote 12 - [NAME OF VOTE 12]</v>
          </cell>
        </row>
        <row r="14">
          <cell r="A14" t="str">
            <v>Vote 13 - [NAME OF VOTE 13]</v>
          </cell>
          <cell r="E14" t="str">
            <v>2.1 - Administrative and Corporate Support</v>
          </cell>
        </row>
        <row r="15">
          <cell r="A15" t="str">
            <v>Vote 14 - [NAME OF VOTE 14]</v>
          </cell>
          <cell r="E15" t="str">
            <v>2.2 - Asset Management</v>
          </cell>
        </row>
        <row r="16">
          <cell r="A16" t="str">
            <v>Vote 15 - [NAME OF VOTE 15]</v>
          </cell>
          <cell r="E16" t="str">
            <v>2.3 - Budget and Treasury Office</v>
          </cell>
        </row>
        <row r="17">
          <cell r="E17" t="str">
            <v>2.4 - Human Resource</v>
          </cell>
        </row>
        <row r="18">
          <cell r="E18" t="str">
            <v>2.5 - Information Technology</v>
          </cell>
        </row>
        <row r="19">
          <cell r="E19" t="str">
            <v>2.6 - Legal Services</v>
          </cell>
        </row>
        <row r="20">
          <cell r="E20" t="str">
            <v>2.7 - Customer Relation and Coordination</v>
          </cell>
        </row>
        <row r="21">
          <cell r="E21" t="str">
            <v>2.8 - Property Services</v>
          </cell>
        </row>
        <row r="22">
          <cell r="E22" t="str">
            <v>2.8 - Property Services</v>
          </cell>
        </row>
        <row r="23">
          <cell r="E23" t="str">
            <v>2.10 - Supply Chain Management</v>
          </cell>
        </row>
        <row r="25">
          <cell r="E25" t="str">
            <v>3.1 - Governance Function</v>
          </cell>
        </row>
        <row r="36">
          <cell r="E36" t="str">
            <v>4.1 - Cemetries and crematoriums</v>
          </cell>
        </row>
        <row r="37">
          <cell r="E37" t="str">
            <v>4.2 - Community halls and Facilities</v>
          </cell>
        </row>
        <row r="38">
          <cell r="E38" t="str">
            <v>4.3 - Disaster Management</v>
          </cell>
        </row>
        <row r="39">
          <cell r="E39" t="str">
            <v>4.4 - Libraries and Archives</v>
          </cell>
        </row>
        <row r="47">
          <cell r="E47" t="str">
            <v>5.1 - Community parks</v>
          </cell>
        </row>
        <row r="58">
          <cell r="E58" t="str">
            <v>6.1 - Housing</v>
          </cell>
        </row>
        <row r="69">
          <cell r="E69" t="str">
            <v>7.1 - Corporate Wide Strategic Planning (IDP &amp; LED)</v>
          </cell>
        </row>
        <row r="70">
          <cell r="E70" t="str">
            <v>7.2 - Town Planning and Building Regulations</v>
          </cell>
        </row>
        <row r="71">
          <cell r="E71" t="str">
            <v>7.3 - Project Management Unit</v>
          </cell>
        </row>
        <row r="80">
          <cell r="E80" t="str">
            <v>8.1 - Road and Traffic Regulations</v>
          </cell>
        </row>
        <row r="81">
          <cell r="E81" t="str">
            <v>8.2 - Roads</v>
          </cell>
        </row>
        <row r="82">
          <cell r="E82" t="str">
            <v>8.3 - Taxi Ranks</v>
          </cell>
        </row>
        <row r="91">
          <cell r="E91" t="str">
            <v>9.1 - Electricity</v>
          </cell>
        </row>
        <row r="92">
          <cell r="E92" t="str">
            <v>9.2 - Street Lighting</v>
          </cell>
        </row>
        <row r="102">
          <cell r="E102" t="str">
            <v>10.1 - Public Toilets</v>
          </cell>
        </row>
        <row r="113">
          <cell r="E113" t="str">
            <v>11.1 - Solid Waste Removal</v>
          </cell>
        </row>
        <row r="124">
          <cell r="E124" t="str">
            <v>12.1 - [Name of sub-vote]</v>
          </cell>
        </row>
        <row r="135">
          <cell r="E135" t="str">
            <v>13.1 - [Name of sub-vote]</v>
          </cell>
        </row>
        <row r="146">
          <cell r="E146" t="str">
            <v>14.1 - [Name of sub-vote]</v>
          </cell>
        </row>
        <row r="157">
          <cell r="E157" t="str">
            <v>15.1 - [Name of sub-vote]</v>
          </cell>
        </row>
      </sheetData>
      <sheetData sheetId="5"/>
      <sheetData sheetId="6"/>
      <sheetData sheetId="7">
        <row r="7">
          <cell r="A7" t="str">
            <v>Governance and administration</v>
          </cell>
          <cell r="K7">
            <v>374916516.31519997</v>
          </cell>
          <cell r="L7">
            <v>392840929.79578203</v>
          </cell>
          <cell r="M7">
            <v>420919388.00475401</v>
          </cell>
        </row>
        <row r="8">
          <cell r="A8" t="str">
            <v>Executive and council</v>
          </cell>
          <cell r="K8">
            <v>0</v>
          </cell>
          <cell r="L8">
            <v>0</v>
          </cell>
          <cell r="M8">
            <v>0</v>
          </cell>
        </row>
        <row r="9">
          <cell r="A9" t="str">
            <v>Finance and administration</v>
          </cell>
          <cell r="K9">
            <v>374916516.31519997</v>
          </cell>
          <cell r="L9">
            <v>392840929.79578203</v>
          </cell>
          <cell r="M9">
            <v>420919388.00475401</v>
          </cell>
        </row>
        <row r="10">
          <cell r="A10" t="str">
            <v>Internal audit</v>
          </cell>
          <cell r="K10">
            <v>0</v>
          </cell>
          <cell r="L10">
            <v>0</v>
          </cell>
          <cell r="M10">
            <v>0</v>
          </cell>
        </row>
        <row r="11">
          <cell r="A11" t="str">
            <v>Community and public safety</v>
          </cell>
          <cell r="K11">
            <v>0</v>
          </cell>
          <cell r="L11">
            <v>0</v>
          </cell>
          <cell r="M11">
            <v>0</v>
          </cell>
        </row>
        <row r="12">
          <cell r="A12" t="str">
            <v>Community and social services</v>
          </cell>
          <cell r="K12">
            <v>0</v>
          </cell>
          <cell r="L12">
            <v>0</v>
          </cell>
          <cell r="M12">
            <v>0</v>
          </cell>
        </row>
        <row r="13">
          <cell r="A13" t="str">
            <v>Sport and recreation</v>
          </cell>
          <cell r="K13">
            <v>0</v>
          </cell>
          <cell r="L13">
            <v>0</v>
          </cell>
          <cell r="M13">
            <v>0</v>
          </cell>
        </row>
        <row r="14">
          <cell r="A14" t="str">
            <v>Public safety</v>
          </cell>
          <cell r="K14">
            <v>0</v>
          </cell>
          <cell r="L14">
            <v>0</v>
          </cell>
          <cell r="M14">
            <v>0</v>
          </cell>
        </row>
        <row r="15">
          <cell r="A15" t="str">
            <v>Housing</v>
          </cell>
          <cell r="K15">
            <v>0</v>
          </cell>
          <cell r="L15">
            <v>0</v>
          </cell>
          <cell r="M15">
            <v>0</v>
          </cell>
        </row>
        <row r="16">
          <cell r="A16" t="str">
            <v>Health</v>
          </cell>
          <cell r="K16">
            <v>0</v>
          </cell>
          <cell r="L16">
            <v>0</v>
          </cell>
          <cell r="M16">
            <v>0</v>
          </cell>
        </row>
        <row r="17">
          <cell r="A17" t="str">
            <v>Economic and environmental services</v>
          </cell>
          <cell r="K17">
            <v>17768674.060000002</v>
          </cell>
          <cell r="L17">
            <v>17135820.230087802</v>
          </cell>
          <cell r="M17">
            <v>18061154.522512499</v>
          </cell>
        </row>
        <row r="18">
          <cell r="A18" t="str">
            <v>Planning and development</v>
          </cell>
          <cell r="K18">
            <v>0</v>
          </cell>
          <cell r="L18">
            <v>0</v>
          </cell>
          <cell r="M18">
            <v>0</v>
          </cell>
        </row>
        <row r="19">
          <cell r="A19" t="str">
            <v>Road transport</v>
          </cell>
          <cell r="K19">
            <v>17768674.060000002</v>
          </cell>
          <cell r="L19">
            <v>17135820.230087802</v>
          </cell>
          <cell r="M19">
            <v>18061154.522512499</v>
          </cell>
        </row>
        <row r="20">
          <cell r="A20" t="str">
            <v>Environmental protection</v>
          </cell>
          <cell r="K20">
            <v>0</v>
          </cell>
          <cell r="L20">
            <v>0</v>
          </cell>
          <cell r="M20">
            <v>0</v>
          </cell>
        </row>
        <row r="21">
          <cell r="A21" t="str">
            <v>Trading services</v>
          </cell>
          <cell r="K21">
            <v>33158506.966959998</v>
          </cell>
          <cell r="L21">
            <v>30670374.254734963</v>
          </cell>
          <cell r="M21">
            <v>31948574.464490652</v>
          </cell>
        </row>
        <row r="22">
          <cell r="A22" t="str">
            <v>Energy sources</v>
          </cell>
          <cell r="K22">
            <v>26486453.966959998</v>
          </cell>
          <cell r="L22">
            <v>23638029.913544402</v>
          </cell>
          <cell r="M22">
            <v>24536483.528875802</v>
          </cell>
        </row>
        <row r="23">
          <cell r="A23" t="str">
            <v>Water management</v>
          </cell>
          <cell r="K23">
            <v>0</v>
          </cell>
          <cell r="L23">
            <v>0</v>
          </cell>
          <cell r="M23">
            <v>0</v>
          </cell>
        </row>
        <row r="24">
          <cell r="A24" t="str">
            <v>Waste water management</v>
          </cell>
          <cell r="K24">
            <v>0</v>
          </cell>
          <cell r="L24">
            <v>0</v>
          </cell>
          <cell r="M24">
            <v>0</v>
          </cell>
        </row>
        <row r="25">
          <cell r="A25" t="str">
            <v>Waste management</v>
          </cell>
          <cell r="K25">
            <v>6672052.9999999991</v>
          </cell>
          <cell r="L25">
            <v>7032344.3411905598</v>
          </cell>
          <cell r="M25">
            <v>7412090.9356148504</v>
          </cell>
        </row>
        <row r="26">
          <cell r="A26" t="str">
            <v>Other</v>
          </cell>
          <cell r="K26">
            <v>0</v>
          </cell>
          <cell r="L26">
            <v>0</v>
          </cell>
          <cell r="M26">
            <v>0</v>
          </cell>
        </row>
        <row r="30">
          <cell r="K30">
            <v>166695444.76999998</v>
          </cell>
          <cell r="L30">
            <v>163523798.77631429</v>
          </cell>
          <cell r="M30">
            <v>173030024.05477315</v>
          </cell>
        </row>
        <row r="31">
          <cell r="K31">
            <v>59514485.890000001</v>
          </cell>
          <cell r="L31">
            <v>57809855.583521083</v>
          </cell>
          <cell r="M31">
            <v>61061787.877573863</v>
          </cell>
        </row>
        <row r="32">
          <cell r="K32">
            <v>104554227.88</v>
          </cell>
          <cell r="L32">
            <v>102921450.08340442</v>
          </cell>
          <cell r="M32">
            <v>108999378.89464387</v>
          </cell>
        </row>
        <row r="33">
          <cell r="K33">
            <v>2626731</v>
          </cell>
          <cell r="L33">
            <v>2792493.1093887901</v>
          </cell>
          <cell r="M33">
            <v>2968857.2825553967</v>
          </cell>
        </row>
        <row r="34">
          <cell r="K34">
            <v>23545268.720000003</v>
          </cell>
          <cell r="L34">
            <v>23302556.057213578</v>
          </cell>
          <cell r="M34">
            <v>25045829.541520596</v>
          </cell>
        </row>
        <row r="35">
          <cell r="K35">
            <v>9282219.3200000003</v>
          </cell>
          <cell r="L35">
            <v>6685613.7979259361</v>
          </cell>
          <cell r="M35">
            <v>7330516.3680212004</v>
          </cell>
        </row>
        <row r="36">
          <cell r="K36">
            <v>13387765.210000001</v>
          </cell>
          <cell r="L36">
            <v>15786854.986601755</v>
          </cell>
          <cell r="M36">
            <v>16828265.220500633</v>
          </cell>
        </row>
        <row r="37">
          <cell r="K37">
            <v>0</v>
          </cell>
          <cell r="L37">
            <v>0</v>
          </cell>
          <cell r="M37">
            <v>0</v>
          </cell>
        </row>
        <row r="38">
          <cell r="K38">
            <v>875284.19</v>
          </cell>
          <cell r="L38">
            <v>830087.27268588985</v>
          </cell>
          <cell r="M38">
            <v>887047.95299876144</v>
          </cell>
        </row>
        <row r="39">
          <cell r="K39">
            <v>0</v>
          </cell>
          <cell r="L39">
            <v>0</v>
          </cell>
          <cell r="M39">
            <v>0</v>
          </cell>
        </row>
        <row r="40">
          <cell r="K40">
            <v>68738454.199999988</v>
          </cell>
          <cell r="L40">
            <v>62852781.364147693</v>
          </cell>
          <cell r="M40">
            <v>66740441.635293707</v>
          </cell>
        </row>
        <row r="41">
          <cell r="K41">
            <v>17854091.579999998</v>
          </cell>
          <cell r="L41">
            <v>16226547.840510551</v>
          </cell>
          <cell r="M41">
            <v>17220675.417043187</v>
          </cell>
        </row>
        <row r="42">
          <cell r="K42">
            <v>50884362.619999997</v>
          </cell>
          <cell r="L42">
            <v>46626233.523637146</v>
          </cell>
          <cell r="M42">
            <v>49519766.218250521</v>
          </cell>
        </row>
        <row r="43">
          <cell r="K43">
            <v>0</v>
          </cell>
          <cell r="L43">
            <v>0</v>
          </cell>
          <cell r="M43">
            <v>0</v>
          </cell>
        </row>
        <row r="44">
          <cell r="K44">
            <v>50157019.280000009</v>
          </cell>
          <cell r="L44">
            <v>47474815.731486514</v>
          </cell>
          <cell r="M44">
            <v>50156710.352937542</v>
          </cell>
        </row>
        <row r="45">
          <cell r="K45">
            <v>42029345.730000004</v>
          </cell>
          <cell r="L45">
            <v>40832093.910386637</v>
          </cell>
          <cell r="M45">
            <v>43108554.260668471</v>
          </cell>
        </row>
        <row r="46">
          <cell r="K46">
            <v>0</v>
          </cell>
          <cell r="L46">
            <v>0</v>
          </cell>
          <cell r="M46">
            <v>0</v>
          </cell>
        </row>
        <row r="47">
          <cell r="K47">
            <v>711052.02</v>
          </cell>
          <cell r="L47">
            <v>802836.49385348998</v>
          </cell>
          <cell r="M47">
            <v>857568.71192217781</v>
          </cell>
        </row>
        <row r="48">
          <cell r="K48">
            <v>7416621.5300000003</v>
          </cell>
          <cell r="L48">
            <v>5839885.3272463884</v>
          </cell>
          <cell r="M48">
            <v>6190587.3803468943</v>
          </cell>
        </row>
        <row r="49">
          <cell r="K49">
            <v>0</v>
          </cell>
          <cell r="L49">
            <v>0</v>
          </cell>
          <cell r="M49">
            <v>0</v>
          </cell>
        </row>
      </sheetData>
      <sheetData sheetId="8"/>
      <sheetData sheetId="9">
        <row r="6">
          <cell r="A6" t="str">
            <v>Revenue by Vote</v>
          </cell>
        </row>
        <row r="7">
          <cell r="A7" t="str">
            <v>Vote 1 - Executive &amp; Council</v>
          </cell>
          <cell r="K7">
            <v>0</v>
          </cell>
          <cell r="L7">
            <v>0</v>
          </cell>
          <cell r="M7">
            <v>0</v>
          </cell>
        </row>
        <row r="8">
          <cell r="A8" t="str">
            <v>Vote 2 - Finance and Administration</v>
          </cell>
          <cell r="K8">
            <v>374916516.31519997</v>
          </cell>
          <cell r="L8">
            <v>392840929.79578203</v>
          </cell>
          <cell r="M8">
            <v>420919388.00475401</v>
          </cell>
        </row>
        <row r="9">
          <cell r="A9" t="str">
            <v>Vote 3 - Internal Audit</v>
          </cell>
          <cell r="K9">
            <v>0</v>
          </cell>
          <cell r="L9">
            <v>0</v>
          </cell>
          <cell r="M9">
            <v>0</v>
          </cell>
        </row>
        <row r="10">
          <cell r="A10" t="str">
            <v>Vote 4 - Community and Public Safety</v>
          </cell>
          <cell r="K10">
            <v>0</v>
          </cell>
          <cell r="L10">
            <v>0</v>
          </cell>
          <cell r="M10">
            <v>0</v>
          </cell>
        </row>
        <row r="11">
          <cell r="A11" t="str">
            <v>Vote 5 - Sports and Recreation</v>
          </cell>
          <cell r="K11">
            <v>0</v>
          </cell>
          <cell r="L11">
            <v>0</v>
          </cell>
          <cell r="M11">
            <v>0</v>
          </cell>
        </row>
        <row r="12">
          <cell r="A12" t="str">
            <v>Vote 6 - Housing</v>
          </cell>
          <cell r="K12">
            <v>0</v>
          </cell>
          <cell r="L12">
            <v>0</v>
          </cell>
          <cell r="M12">
            <v>0</v>
          </cell>
        </row>
        <row r="13">
          <cell r="A13" t="str">
            <v xml:space="preserve">Vote 7 - Planning and development </v>
          </cell>
          <cell r="K13">
            <v>0</v>
          </cell>
          <cell r="L13">
            <v>0</v>
          </cell>
          <cell r="M13">
            <v>0</v>
          </cell>
        </row>
        <row r="14">
          <cell r="A14" t="str">
            <v>Vote 8 - Road Transport</v>
          </cell>
          <cell r="K14">
            <v>17768674.060000002</v>
          </cell>
          <cell r="L14">
            <v>17135820.230087802</v>
          </cell>
          <cell r="M14">
            <v>18061154.522512499</v>
          </cell>
        </row>
        <row r="15">
          <cell r="A15" t="str">
            <v>Vote 9 - Energy Sources</v>
          </cell>
          <cell r="K15">
            <v>26486453.966959998</v>
          </cell>
          <cell r="L15">
            <v>23638029.913544402</v>
          </cell>
          <cell r="M15">
            <v>24536483.528875802</v>
          </cell>
        </row>
        <row r="16">
          <cell r="A16" t="str">
            <v>Vote 10 - Waste Water Management</v>
          </cell>
          <cell r="K16">
            <v>0</v>
          </cell>
          <cell r="L16">
            <v>0</v>
          </cell>
          <cell r="M16">
            <v>0</v>
          </cell>
        </row>
        <row r="17">
          <cell r="A17" t="str">
            <v>Vote 11 - Waste Management</v>
          </cell>
          <cell r="K17">
            <v>6672052.9999999991</v>
          </cell>
          <cell r="L17">
            <v>7032344.3411905598</v>
          </cell>
          <cell r="M17">
            <v>7412090.9356148504</v>
          </cell>
        </row>
        <row r="18">
          <cell r="A18" t="str">
            <v>Vote 12 - [NAME OF VOTE 12]</v>
          </cell>
          <cell r="K18">
            <v>0</v>
          </cell>
          <cell r="L18">
            <v>0</v>
          </cell>
          <cell r="M18">
            <v>0</v>
          </cell>
        </row>
        <row r="19">
          <cell r="A19" t="str">
            <v>Vote 13 - [NAME OF VOTE 13]</v>
          </cell>
          <cell r="K19">
            <v>0</v>
          </cell>
          <cell r="L19">
            <v>0</v>
          </cell>
          <cell r="M19">
            <v>0</v>
          </cell>
        </row>
        <row r="20">
          <cell r="A20" t="str">
            <v>Vote 14 - [NAME OF VOTE 14]</v>
          </cell>
          <cell r="K20">
            <v>0</v>
          </cell>
          <cell r="L20">
            <v>0</v>
          </cell>
          <cell r="M20">
            <v>0</v>
          </cell>
        </row>
        <row r="21">
          <cell r="A21" t="str">
            <v>Vote 15 - [NAME OF VOTE 15]</v>
          </cell>
          <cell r="K21">
            <v>0</v>
          </cell>
          <cell r="L21">
            <v>0</v>
          </cell>
          <cell r="M21">
            <v>0</v>
          </cell>
        </row>
        <row r="22">
          <cell r="A22" t="str">
            <v>Total Revenue by Vote</v>
          </cell>
        </row>
        <row r="24">
          <cell r="A24" t="str">
            <v>Expenditure by Vote</v>
          </cell>
        </row>
        <row r="25">
          <cell r="A25" t="str">
            <v>Vote 1 - Executive &amp; Council</v>
          </cell>
          <cell r="K25">
            <v>59514485.890000001</v>
          </cell>
          <cell r="L25">
            <v>57809855.583521083</v>
          </cell>
          <cell r="M25">
            <v>61061787.877573863</v>
          </cell>
        </row>
        <row r="26">
          <cell r="A26" t="str">
            <v>Vote 2 - Finance and Administration</v>
          </cell>
          <cell r="K26">
            <v>104554227.88</v>
          </cell>
          <cell r="L26">
            <v>102921450.08340442</v>
          </cell>
          <cell r="M26">
            <v>108999378.89464387</v>
          </cell>
        </row>
        <row r="27">
          <cell r="A27" t="str">
            <v>Vote 3 - Internal Audit</v>
          </cell>
          <cell r="K27">
            <v>2626731</v>
          </cell>
          <cell r="L27">
            <v>2792493.1093887901</v>
          </cell>
          <cell r="M27">
            <v>2968857.2825553967</v>
          </cell>
        </row>
        <row r="28">
          <cell r="A28" t="str">
            <v>Vote 4 - Community and Public Safety</v>
          </cell>
          <cell r="K28">
            <v>9282219.3200000003</v>
          </cell>
          <cell r="L28">
            <v>6685613.7979259361</v>
          </cell>
          <cell r="M28">
            <v>7330516.3680212004</v>
          </cell>
        </row>
        <row r="29">
          <cell r="A29" t="str">
            <v>Vote 5 - Sports and Recreation</v>
          </cell>
          <cell r="K29">
            <v>13387765.210000001</v>
          </cell>
          <cell r="L29">
            <v>15786854.986601755</v>
          </cell>
          <cell r="M29">
            <v>16828265.220500633</v>
          </cell>
        </row>
        <row r="30">
          <cell r="A30" t="str">
            <v>Vote 6 - Housing</v>
          </cell>
          <cell r="K30">
            <v>875284.19</v>
          </cell>
          <cell r="L30">
            <v>830087.27268588985</v>
          </cell>
          <cell r="M30">
            <v>887047.95299876144</v>
          </cell>
        </row>
        <row r="31">
          <cell r="A31" t="str">
            <v xml:space="preserve">Vote 7 - Planning and development </v>
          </cell>
          <cell r="K31">
            <v>17854091.579999998</v>
          </cell>
          <cell r="L31">
            <v>16226547.840510551</v>
          </cell>
          <cell r="M31">
            <v>17220675.417043187</v>
          </cell>
        </row>
        <row r="32">
          <cell r="A32" t="str">
            <v>Vote 8 - Road Transport</v>
          </cell>
          <cell r="K32">
            <v>50884362.619999997</v>
          </cell>
          <cell r="L32">
            <v>46626233.523637146</v>
          </cell>
          <cell r="M32">
            <v>49519766.218250521</v>
          </cell>
        </row>
        <row r="33">
          <cell r="A33" t="str">
            <v>Vote 9 - Energy Sources</v>
          </cell>
          <cell r="K33">
            <v>42029345.730000004</v>
          </cell>
          <cell r="L33">
            <v>40832093.910386637</v>
          </cell>
          <cell r="M33">
            <v>43108554.260668471</v>
          </cell>
        </row>
        <row r="34">
          <cell r="A34" t="str">
            <v>Vote 10 - Waste Water Management</v>
          </cell>
          <cell r="K34">
            <v>711052.02</v>
          </cell>
          <cell r="L34">
            <v>802836.49385348998</v>
          </cell>
          <cell r="M34">
            <v>857568.71192217781</v>
          </cell>
        </row>
        <row r="35">
          <cell r="A35" t="str">
            <v>Vote 11 - Waste Management</v>
          </cell>
          <cell r="K35">
            <v>7416621.5300000003</v>
          </cell>
          <cell r="L35">
            <v>5839885.3272463884</v>
          </cell>
          <cell r="M35">
            <v>6190587.3803468943</v>
          </cell>
        </row>
        <row r="36">
          <cell r="A36" t="str">
            <v>Vote 12 - [NAME OF VOTE 12]</v>
          </cell>
          <cell r="K36">
            <v>0</v>
          </cell>
          <cell r="L36">
            <v>0</v>
          </cell>
          <cell r="M36">
            <v>0</v>
          </cell>
        </row>
        <row r="37">
          <cell r="A37" t="str">
            <v>Vote 13 - [NAME OF VOTE 13]</v>
          </cell>
          <cell r="K37">
            <v>0</v>
          </cell>
          <cell r="L37">
            <v>0</v>
          </cell>
          <cell r="M37">
            <v>0</v>
          </cell>
        </row>
        <row r="38">
          <cell r="A38" t="str">
            <v>Vote 14 - [NAME OF VOTE 14]</v>
          </cell>
          <cell r="K38">
            <v>0</v>
          </cell>
          <cell r="L38">
            <v>0</v>
          </cell>
          <cell r="M38">
            <v>0</v>
          </cell>
        </row>
        <row r="39">
          <cell r="A39" t="str">
            <v>Vote 15 - [NAME OF VOTE 15]</v>
          </cell>
          <cell r="K39">
            <v>0</v>
          </cell>
          <cell r="L39">
            <v>0</v>
          </cell>
          <cell r="M39">
            <v>0</v>
          </cell>
        </row>
      </sheetData>
      <sheetData sheetId="10">
        <row r="2">
          <cell r="C2" t="str">
            <v>Budget Year 2019/20</v>
          </cell>
          <cell r="L2" t="str">
            <v>Budget Year +1 2020/21</v>
          </cell>
          <cell r="M2" t="str">
            <v>Budget Year +2 2021/22</v>
          </cell>
        </row>
      </sheetData>
      <sheetData sheetId="11">
        <row r="7">
          <cell r="K7">
            <v>17740178</v>
          </cell>
          <cell r="L7">
            <v>18698148</v>
          </cell>
          <cell r="M7">
            <v>19707848</v>
          </cell>
        </row>
        <row r="8">
          <cell r="K8">
            <v>14275525.96696</v>
          </cell>
          <cell r="L8">
            <v>13554102</v>
          </cell>
          <cell r="M8">
            <v>14286022</v>
          </cell>
        </row>
        <row r="9">
          <cell r="K9">
            <v>0</v>
          </cell>
          <cell r="L9">
            <v>0</v>
          </cell>
          <cell r="M9">
            <v>0</v>
          </cell>
        </row>
        <row r="10">
          <cell r="K10">
            <v>0</v>
          </cell>
          <cell r="L10">
            <v>0</v>
          </cell>
          <cell r="M10">
            <v>0</v>
          </cell>
        </row>
        <row r="11">
          <cell r="K11">
            <v>6672052.9999999991</v>
          </cell>
          <cell r="L11">
            <v>7032344</v>
          </cell>
          <cell r="M11">
            <v>7412091</v>
          </cell>
        </row>
        <row r="13">
          <cell r="K13">
            <v>149999.74595999997</v>
          </cell>
          <cell r="L13">
            <v>158100</v>
          </cell>
          <cell r="M13">
            <v>166637.4</v>
          </cell>
        </row>
        <row r="14">
          <cell r="K14">
            <v>79999.757120000198</v>
          </cell>
          <cell r="L14">
            <v>128588</v>
          </cell>
          <cell r="M14">
            <v>135531.75200000001</v>
          </cell>
        </row>
        <row r="15">
          <cell r="K15">
            <v>10227490.759959999</v>
          </cell>
          <cell r="L15">
            <v>10779775.514</v>
          </cell>
          <cell r="M15">
            <v>11361883.391756</v>
          </cell>
        </row>
        <row r="16">
          <cell r="K16">
            <v>0</v>
          </cell>
          <cell r="L16">
            <v>0</v>
          </cell>
          <cell r="M16">
            <v>0</v>
          </cell>
        </row>
        <row r="17">
          <cell r="K17">
            <v>82570</v>
          </cell>
          <cell r="L17">
            <v>109723.508</v>
          </cell>
          <cell r="M17">
            <v>115648.57743200001</v>
          </cell>
        </row>
        <row r="18">
          <cell r="K18">
            <v>14924263.76</v>
          </cell>
          <cell r="L18">
            <v>14613314.624869101</v>
          </cell>
          <cell r="M18">
            <v>15402433.614612101</v>
          </cell>
        </row>
        <row r="19">
          <cell r="K19">
            <v>2761840.3</v>
          </cell>
          <cell r="L19">
            <v>2412782.0972186401</v>
          </cell>
          <cell r="M19">
            <v>2543072.3304684502</v>
          </cell>
        </row>
        <row r="20">
          <cell r="K20">
            <v>286922000</v>
          </cell>
          <cell r="L20">
            <v>300105000</v>
          </cell>
          <cell r="M20">
            <v>321890000</v>
          </cell>
        </row>
        <row r="21">
          <cell r="K21">
            <v>9507772.0521599986</v>
          </cell>
          <cell r="L21">
            <v>4332464.6439748798</v>
          </cell>
          <cell r="M21">
            <v>4883495.2707495205</v>
          </cell>
        </row>
        <row r="22">
          <cell r="K22">
            <v>607004</v>
          </cell>
          <cell r="L22">
            <v>639782.21600000001</v>
          </cell>
          <cell r="M22">
            <v>674330.45566400001</v>
          </cell>
        </row>
        <row r="26">
          <cell r="K26">
            <v>104739195.03999999</v>
          </cell>
          <cell r="L26">
            <v>113743882.14451401</v>
          </cell>
          <cell r="M26">
            <v>121592209.08348545</v>
          </cell>
        </row>
        <row r="27">
          <cell r="K27">
            <v>24071901</v>
          </cell>
          <cell r="L27">
            <v>25371783.730393924</v>
          </cell>
          <cell r="M27">
            <v>26741860.051835198</v>
          </cell>
        </row>
        <row r="28">
          <cell r="K28">
            <v>2058364</v>
          </cell>
          <cell r="L28">
            <v>2169516.11963352</v>
          </cell>
          <cell r="M28">
            <v>2286669.9900937304</v>
          </cell>
        </row>
        <row r="29">
          <cell r="K29">
            <v>1888287.5824000007</v>
          </cell>
          <cell r="L29">
            <v>6588771</v>
          </cell>
          <cell r="M29">
            <v>6944565</v>
          </cell>
        </row>
        <row r="30">
          <cell r="K30">
            <v>0</v>
          </cell>
        </row>
        <row r="31">
          <cell r="K31">
            <v>18554551.649999999</v>
          </cell>
          <cell r="L31">
            <v>18956801</v>
          </cell>
          <cell r="M31">
            <v>19980468</v>
          </cell>
        </row>
        <row r="32">
          <cell r="K32">
            <v>0</v>
          </cell>
        </row>
        <row r="33">
          <cell r="K33">
            <v>31309264.186439998</v>
          </cell>
          <cell r="L33">
            <v>20510449</v>
          </cell>
          <cell r="M33">
            <v>21618010</v>
          </cell>
        </row>
        <row r="34">
          <cell r="K34">
            <v>0</v>
          </cell>
        </row>
        <row r="35">
          <cell r="K35">
            <v>126515619.7325601</v>
          </cell>
          <cell r="L35">
            <v>109812749</v>
          </cell>
          <cell r="M35">
            <v>115809220</v>
          </cell>
        </row>
        <row r="36">
          <cell r="K36">
            <v>0</v>
          </cell>
        </row>
        <row r="40">
          <cell r="K40">
            <v>57608000</v>
          </cell>
          <cell r="L40">
            <v>60783000</v>
          </cell>
          <cell r="M40">
            <v>65351000</v>
          </cell>
        </row>
        <row r="41">
          <cell r="K41">
            <v>0</v>
          </cell>
        </row>
        <row r="42">
          <cell r="K42">
            <v>4285000</v>
          </cell>
          <cell r="L42">
            <v>7000000</v>
          </cell>
          <cell r="M42">
            <v>7000000</v>
          </cell>
        </row>
        <row r="43">
          <cell r="K43">
            <v>116706514.15075999</v>
          </cell>
          <cell r="L43">
            <v>143193172.60952121</v>
          </cell>
          <cell r="M43">
            <v>155956991.66726768</v>
          </cell>
        </row>
      </sheetData>
      <sheetData sheetId="12"/>
      <sheetData sheetId="13">
        <row r="8">
          <cell r="A8" t="str">
            <v>Vote 1 - Executive &amp; Council</v>
          </cell>
        </row>
        <row r="9">
          <cell r="A9" t="str">
            <v>1.1 - Mayor and Council</v>
          </cell>
        </row>
        <row r="10">
          <cell r="A10" t="str">
            <v>1.2 - Municipal Manager</v>
          </cell>
        </row>
        <row r="19">
          <cell r="A19" t="str">
            <v>Vote 2 - Finance and Administration</v>
          </cell>
        </row>
        <row r="20">
          <cell r="A20" t="str">
            <v>2.1 - Administrative and Corporate Support</v>
          </cell>
        </row>
        <row r="21">
          <cell r="A21" t="str">
            <v>2.2 - Asset Management</v>
          </cell>
        </row>
        <row r="22">
          <cell r="A22" t="str">
            <v>2.3 - Budget and Treasury Office</v>
          </cell>
        </row>
        <row r="23">
          <cell r="A23" t="str">
            <v>2.4 - Human Resource</v>
          </cell>
        </row>
        <row r="24">
          <cell r="A24" t="str">
            <v>2.5 - Information Technology</v>
          </cell>
        </row>
        <row r="25">
          <cell r="A25" t="str">
            <v>2.6 - Legal Services</v>
          </cell>
        </row>
        <row r="26">
          <cell r="A26" t="str">
            <v>2.7 - Customer Relation and Coordination</v>
          </cell>
        </row>
        <row r="27">
          <cell r="A27" t="str">
            <v>2.8 - Property Services</v>
          </cell>
        </row>
        <row r="28">
          <cell r="A28" t="str">
            <v>2.8 - Property Services</v>
          </cell>
        </row>
        <row r="29">
          <cell r="A29" t="str">
            <v>2.10 - Supply Chain Management</v>
          </cell>
        </row>
        <row r="30">
          <cell r="A30" t="str">
            <v>Vote 3 - Internal Audit</v>
          </cell>
        </row>
        <row r="31">
          <cell r="A31" t="str">
            <v>3.1 - Governance Function</v>
          </cell>
        </row>
        <row r="41">
          <cell r="A41" t="str">
            <v>Vote 4 - Community and Public Safety</v>
          </cell>
        </row>
        <row r="42">
          <cell r="A42" t="str">
            <v>4.1 - Cemetries and crematoriums</v>
          </cell>
        </row>
        <row r="43">
          <cell r="A43" t="str">
            <v>4.2 - Community halls and Facilities</v>
          </cell>
        </row>
        <row r="44">
          <cell r="A44" t="str">
            <v>4.3 - Disaster Management</v>
          </cell>
        </row>
        <row r="45">
          <cell r="A45" t="str">
            <v>4.4 - Libraries and Archives</v>
          </cell>
        </row>
        <row r="52">
          <cell r="A52" t="str">
            <v>Vote 5 - Sports and Recreation</v>
          </cell>
        </row>
        <row r="53">
          <cell r="A53" t="str">
            <v>5.1 - Community parks</v>
          </cell>
        </row>
        <row r="63">
          <cell r="A63" t="str">
            <v>Vote 6 - Housing</v>
          </cell>
        </row>
        <row r="64">
          <cell r="A64" t="str">
            <v>6.1 - Housing</v>
          </cell>
        </row>
        <row r="74">
          <cell r="A74" t="str">
            <v xml:space="preserve">Vote 7 - Planning and development </v>
          </cell>
        </row>
        <row r="75">
          <cell r="A75" t="str">
            <v>7.1 - Corporate Wide Strategic Planning (IDP &amp; LED)</v>
          </cell>
        </row>
        <row r="76">
          <cell r="A76" t="str">
            <v>7.2 - Town Planning and Building Regulations</v>
          </cell>
        </row>
        <row r="77">
          <cell r="A77" t="str">
            <v>7.3 - Project Management Unit</v>
          </cell>
        </row>
        <row r="85">
          <cell r="A85" t="str">
            <v>Vote 8 - Road Transport</v>
          </cell>
        </row>
        <row r="86">
          <cell r="A86" t="str">
            <v>8.1 - Road and Traffic Regulations</v>
          </cell>
        </row>
        <row r="87">
          <cell r="A87" t="str">
            <v>8.2 - Roads</v>
          </cell>
        </row>
        <row r="88">
          <cell r="A88" t="str">
            <v>8.3 - Taxi Ranks</v>
          </cell>
        </row>
        <row r="96">
          <cell r="A96" t="str">
            <v>Vote 9 - Energy Sources</v>
          </cell>
        </row>
        <row r="97">
          <cell r="A97" t="str">
            <v>9.1 - Electricity</v>
          </cell>
        </row>
        <row r="98">
          <cell r="A98" t="str">
            <v>9.2 - Street Lighting</v>
          </cell>
        </row>
        <row r="107">
          <cell r="A107" t="str">
            <v>Vote 10 - Waste Water Management</v>
          </cell>
        </row>
        <row r="108">
          <cell r="A108" t="str">
            <v>10.1 - Public Toilets</v>
          </cell>
        </row>
        <row r="118">
          <cell r="A118" t="str">
            <v>Vote 11 - Waste Management</v>
          </cell>
        </row>
        <row r="119">
          <cell r="A119" t="str">
            <v>11.1 - Solid Waste Removal</v>
          </cell>
        </row>
        <row r="129">
          <cell r="A129" t="str">
            <v>Vote 12 - [NAME OF VOTE 12]</v>
          </cell>
        </row>
        <row r="130">
          <cell r="A130" t="str">
            <v>12.1 - [Name of sub-vote]</v>
          </cell>
        </row>
        <row r="140">
          <cell r="A140" t="str">
            <v>Vote 13 - [NAME OF VOTE 13]</v>
          </cell>
        </row>
        <row r="141">
          <cell r="A141" t="str">
            <v>13.1 - [Name of sub-vote]</v>
          </cell>
        </row>
        <row r="151">
          <cell r="A151" t="str">
            <v>Vote 14 - [NAME OF VOTE 14]</v>
          </cell>
        </row>
        <row r="152">
          <cell r="A152" t="str">
            <v>14.1 - [Name of sub-vote]</v>
          </cell>
        </row>
        <row r="162">
          <cell r="A162" t="str">
            <v>Vote 15 - [NAME OF VOTE 15]</v>
          </cell>
        </row>
        <row r="163">
          <cell r="A163" t="str">
            <v>15.1 - [Name of sub-vote]</v>
          </cell>
        </row>
      </sheetData>
      <sheetData sheetId="14"/>
      <sheetData sheetId="15"/>
      <sheetData sheetId="16"/>
      <sheetData sheetId="17"/>
      <sheetData sheetId="18"/>
      <sheetData sheetId="19">
        <row r="10">
          <cell r="C10">
            <v>17740178</v>
          </cell>
          <cell r="D10">
            <v>0</v>
          </cell>
          <cell r="E10">
            <v>0</v>
          </cell>
          <cell r="F10">
            <v>0</v>
          </cell>
          <cell r="G10">
            <v>0</v>
          </cell>
          <cell r="H10">
            <v>0</v>
          </cell>
          <cell r="I10">
            <v>0</v>
          </cell>
          <cell r="L10">
            <v>18698148</v>
          </cell>
          <cell r="M10">
            <v>19707848</v>
          </cell>
        </row>
        <row r="16">
          <cell r="C16">
            <v>25738909</v>
          </cell>
          <cell r="D16">
            <v>0</v>
          </cell>
          <cell r="E16">
            <v>0</v>
          </cell>
          <cell r="F16">
            <v>0</v>
          </cell>
          <cell r="G16">
            <v>0</v>
          </cell>
          <cell r="H16">
            <v>0</v>
          </cell>
          <cell r="I16">
            <v>-11463383.03304</v>
          </cell>
          <cell r="L16">
            <v>13554102</v>
          </cell>
          <cell r="M16">
            <v>14286022</v>
          </cell>
        </row>
        <row r="22">
          <cell r="C22">
            <v>0</v>
          </cell>
          <cell r="D22">
            <v>0</v>
          </cell>
          <cell r="E22">
            <v>0</v>
          </cell>
          <cell r="F22">
            <v>0</v>
          </cell>
          <cell r="G22">
            <v>0</v>
          </cell>
          <cell r="H22">
            <v>0</v>
          </cell>
          <cell r="I22">
            <v>0</v>
          </cell>
          <cell r="L22">
            <v>0</v>
          </cell>
          <cell r="M22">
            <v>0</v>
          </cell>
        </row>
        <row r="28">
          <cell r="C28">
            <v>0</v>
          </cell>
          <cell r="D28">
            <v>0</v>
          </cell>
          <cell r="E28">
            <v>0</v>
          </cell>
          <cell r="F28">
            <v>0</v>
          </cell>
          <cell r="G28">
            <v>0</v>
          </cell>
          <cell r="H28">
            <v>0</v>
          </cell>
          <cell r="I28">
            <v>0</v>
          </cell>
          <cell r="L28">
            <v>0</v>
          </cell>
          <cell r="M28">
            <v>0</v>
          </cell>
        </row>
        <row r="35">
          <cell r="C35">
            <v>8672053</v>
          </cell>
          <cell r="D35">
            <v>0</v>
          </cell>
          <cell r="E35">
            <v>0</v>
          </cell>
          <cell r="F35">
            <v>0</v>
          </cell>
          <cell r="G35">
            <v>0</v>
          </cell>
          <cell r="H35">
            <v>0</v>
          </cell>
          <cell r="I35">
            <v>-2000000.0000000009</v>
          </cell>
          <cell r="L35">
            <v>7032344</v>
          </cell>
          <cell r="M35">
            <v>7412091</v>
          </cell>
        </row>
        <row r="50">
          <cell r="C50">
            <v>14747535</v>
          </cell>
          <cell r="D50">
            <v>0</v>
          </cell>
          <cell r="E50">
            <v>0</v>
          </cell>
          <cell r="F50">
            <v>0</v>
          </cell>
          <cell r="G50">
            <v>0</v>
          </cell>
          <cell r="H50">
            <v>0</v>
          </cell>
          <cell r="I50">
            <v>-5239762.9478400005</v>
          </cell>
          <cell r="L50">
            <v>4332464.6439748798</v>
          </cell>
          <cell r="M50">
            <v>4883495.2707495205</v>
          </cell>
        </row>
        <row r="68">
          <cell r="C68">
            <v>107636135</v>
          </cell>
          <cell r="D68">
            <v>0</v>
          </cell>
          <cell r="E68">
            <v>0</v>
          </cell>
          <cell r="F68">
            <v>0</v>
          </cell>
          <cell r="G68">
            <v>0</v>
          </cell>
          <cell r="H68">
            <v>0</v>
          </cell>
          <cell r="I68">
            <v>-2896939.9600000046</v>
          </cell>
          <cell r="L68">
            <v>113743882.14451401</v>
          </cell>
          <cell r="M68">
            <v>121592209.08348545</v>
          </cell>
        </row>
        <row r="84">
          <cell r="C84">
            <v>6251207</v>
          </cell>
          <cell r="D84">
            <v>0</v>
          </cell>
          <cell r="E84">
            <v>0</v>
          </cell>
          <cell r="F84">
            <v>0</v>
          </cell>
          <cell r="G84">
            <v>0</v>
          </cell>
          <cell r="H84">
            <v>0</v>
          </cell>
          <cell r="I84">
            <v>-4362919.4175999993</v>
          </cell>
          <cell r="L84">
            <v>6588771</v>
          </cell>
          <cell r="M84">
            <v>6944565</v>
          </cell>
        </row>
        <row r="89">
          <cell r="C89">
            <v>17985580</v>
          </cell>
          <cell r="D89">
            <v>0</v>
          </cell>
          <cell r="E89">
            <v>0</v>
          </cell>
          <cell r="F89">
            <v>0</v>
          </cell>
          <cell r="G89">
            <v>0</v>
          </cell>
          <cell r="H89">
            <v>0</v>
          </cell>
          <cell r="I89">
            <v>568971.65</v>
          </cell>
          <cell r="L89">
            <v>18956801</v>
          </cell>
          <cell r="M89">
            <v>19980468</v>
          </cell>
        </row>
        <row r="128">
          <cell r="C128">
            <v>19459626.09</v>
          </cell>
          <cell r="D128">
            <v>0</v>
          </cell>
          <cell r="E128">
            <v>0</v>
          </cell>
          <cell r="F128">
            <v>0</v>
          </cell>
          <cell r="G128">
            <v>0</v>
          </cell>
          <cell r="H128">
            <v>0</v>
          </cell>
          <cell r="I128">
            <v>11849638.096439999</v>
          </cell>
          <cell r="L128">
            <v>20510449</v>
          </cell>
          <cell r="M128">
            <v>21618010</v>
          </cell>
        </row>
        <row r="158">
          <cell r="C158">
            <v>136325409</v>
          </cell>
          <cell r="D158">
            <v>0</v>
          </cell>
          <cell r="E158">
            <v>0</v>
          </cell>
          <cell r="F158">
            <v>0</v>
          </cell>
          <cell r="G158">
            <v>0</v>
          </cell>
          <cell r="H158">
            <v>0</v>
          </cell>
          <cell r="I158">
            <v>-9809789.2674399</v>
          </cell>
          <cell r="L158">
            <v>109812749</v>
          </cell>
          <cell r="M158">
            <v>115809220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Chart1"/>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2">
          <cell r="B2" t="str">
            <v>2017/18</v>
          </cell>
        </row>
        <row r="3">
          <cell r="B3" t="str">
            <v>2016/17</v>
          </cell>
        </row>
        <row r="4">
          <cell r="B4" t="str">
            <v>2015/16</v>
          </cell>
        </row>
        <row r="7">
          <cell r="B7" t="str">
            <v>2019/20 Medium Term Revenue &amp; Expenditure Framework</v>
          </cell>
        </row>
        <row r="8">
          <cell r="B8" t="str">
            <v>LTFS</v>
          </cell>
        </row>
        <row r="9">
          <cell r="B9" t="str">
            <v>Audited Outcome</v>
          </cell>
        </row>
        <row r="11">
          <cell r="B11" t="str">
            <v>Pre-audit outcome</v>
          </cell>
        </row>
        <row r="14">
          <cell r="B14" t="str">
            <v>Full Year Forecast</v>
          </cell>
        </row>
        <row r="18">
          <cell r="B18" t="str">
            <v>Forecast 2022/23</v>
          </cell>
        </row>
        <row r="19">
          <cell r="B19" t="str">
            <v>Forecast 2023/24</v>
          </cell>
        </row>
        <row r="20">
          <cell r="B20" t="str">
            <v>Forecast 2024/25</v>
          </cell>
        </row>
        <row r="21">
          <cell r="B21" t="str">
            <v>Forecast 2025/26</v>
          </cell>
        </row>
        <row r="22">
          <cell r="B22" t="str">
            <v>Forecast 2026/27</v>
          </cell>
        </row>
        <row r="23">
          <cell r="B23" t="str">
            <v>Forecast 2027/28</v>
          </cell>
        </row>
        <row r="24">
          <cell r="B24" t="str">
            <v>Forecast 2028/29</v>
          </cell>
        </row>
        <row r="25">
          <cell r="B25" t="str">
            <v>Forecast 2029/30</v>
          </cell>
        </row>
        <row r="26">
          <cell r="B26" t="str">
            <v>Forecast 2030/31</v>
          </cell>
        </row>
        <row r="27">
          <cell r="B27" t="str">
            <v>Forecast 2031/32</v>
          </cell>
        </row>
        <row r="28">
          <cell r="B28" t="str">
            <v>Forecast 2032/33</v>
          </cell>
        </row>
        <row r="29">
          <cell r="B29" t="str">
            <v>Forecast 2033/34</v>
          </cell>
        </row>
        <row r="102">
          <cell r="B102" t="str">
            <v>Table A3 Budgeted Financial Performance (revenue and expenditure by municipal vote)</v>
          </cell>
        </row>
        <row r="103">
          <cell r="B103" t="str">
            <v>Table A4 Budgeted Financial Performance (revenue and expenditure)</v>
          </cell>
        </row>
        <row r="137">
          <cell r="B137" t="str">
            <v>Supporting Table SA25 Budgeted monthly revenue and expenditure</v>
          </cell>
        </row>
        <row r="138">
          <cell r="B138" t="str">
            <v>Supporting Table SA26 Budgeted monthly revenue and expenditure (municipal vote)</v>
          </cell>
        </row>
        <row r="140">
          <cell r="B140" t="str">
            <v>Supporting Table SA28 Budgeted monthly capital expenditure (municipal vote)</v>
          </cell>
        </row>
      </sheetData>
      <sheetData sheetId="3"/>
      <sheetData sheetId="4">
        <row r="2">
          <cell r="A2" t="str">
            <v>Vote 1 - Executive &amp; Council</v>
          </cell>
        </row>
      </sheetData>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&amp; Council</v>
          </cell>
        </row>
      </sheetData>
      <sheetData sheetId="13">
        <row r="6">
          <cell r="A6" t="str">
            <v>Vote 1 - Executive &amp; Council</v>
          </cell>
        </row>
      </sheetData>
      <sheetData sheetId="14"/>
      <sheetData sheetId="15"/>
      <sheetData sheetId="16"/>
      <sheetData sheetId="17"/>
      <sheetData sheetId="18"/>
      <sheetData sheetId="19"/>
      <sheetData sheetId="20">
        <row r="9">
          <cell r="C9">
            <v>8977594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2">
          <cell r="A42" t="str">
            <v>Taxation</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8e"/>
      <sheetName val="SB19"/>
      <sheetName val="SB20"/>
      <sheetName val="COVER"/>
      <sheetName val="INDEX"/>
      <sheetName val="INTRO"/>
      <sheetName val="METHODOLOGY"/>
      <sheetName val="STRATEGY"/>
      <sheetName val="OPERATIONAL STRATEIES"/>
      <sheetName val="Table A3"/>
      <sheetName val="Table A4"/>
      <sheetName val="Table A5"/>
      <sheetName val="SA 26"/>
      <sheetName val="SA 27"/>
      <sheetName val="SA 28"/>
      <sheetName val="MTOD KPI"/>
      <sheetName val="BSD KPI"/>
      <sheetName val="LED KPI"/>
      <sheetName val="MFMV KPI"/>
      <sheetName val="GGPP KPI"/>
      <sheetName val="CWP 2019-2020"/>
      <sheetName val="MTOD Annextue A"/>
      <sheetName val="BSD Annexture B"/>
      <sheetName val="LED Annexture C"/>
      <sheetName val="MFMV Annexture D"/>
      <sheetName val="GGPP Annexture E"/>
      <sheetName val="SIGNATURES"/>
    </sheetNames>
    <sheetDataSet>
      <sheetData sheetId="0"/>
      <sheetData sheetId="1"/>
      <sheetData sheetId="2">
        <row r="22">
          <cell r="B22" t="str">
            <v>References</v>
          </cell>
        </row>
      </sheetData>
      <sheetData sheetId="3"/>
      <sheetData sheetId="4">
        <row r="2">
          <cell r="A2" t="str">
            <v>Vote 1 - Executive &amp; Council</v>
          </cell>
        </row>
      </sheetData>
      <sheetData sheetId="5"/>
      <sheetData sheetId="6"/>
      <sheetData sheetId="7"/>
      <sheetData sheetId="8"/>
      <sheetData sheetId="9">
        <row r="6">
          <cell r="A6" t="str">
            <v>Revenue by Vote</v>
          </cell>
        </row>
      </sheetData>
      <sheetData sheetId="10">
        <row r="7">
          <cell r="A7" t="str">
            <v>Vote 1 - Executive &amp; Council</v>
          </cell>
        </row>
      </sheetData>
      <sheetData sheetId="11">
        <row r="7">
          <cell r="K7">
            <v>16863286.57</v>
          </cell>
        </row>
      </sheetData>
      <sheetData sheetId="12">
        <row r="8">
          <cell r="A8" t="str">
            <v>Vote 1 - Executive &amp; Council</v>
          </cell>
        </row>
      </sheetData>
      <sheetData sheetId="13">
        <row r="8">
          <cell r="A8" t="str">
            <v>Vote 1 - Executive &amp; Council</v>
          </cell>
        </row>
      </sheetData>
      <sheetData sheetId="14"/>
      <sheetData sheetId="15"/>
      <sheetData sheetId="16"/>
      <sheetData sheetId="17"/>
      <sheetData sheetId="18"/>
      <sheetData sheetId="19">
        <row r="10">
          <cell r="C10">
            <v>12255327.57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2">
          <cell r="B22"/>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view="pageBreakPreview" topLeftCell="C9" zoomScale="60" zoomScaleNormal="100" workbookViewId="0">
      <selection activeCell="AE27" sqref="AE27"/>
    </sheetView>
  </sheetViews>
  <sheetFormatPr defaultRowHeight="14.4" x14ac:dyDescent="0.3"/>
  <cols>
    <col min="14" max="14" width="24.33203125" customWidth="1"/>
  </cols>
  <sheetData>
    <row r="1" spans="1:14" x14ac:dyDescent="0.3">
      <c r="A1" s="12"/>
      <c r="B1" s="12"/>
      <c r="C1" s="12"/>
      <c r="D1" s="12"/>
      <c r="E1" s="12"/>
      <c r="F1" s="12"/>
      <c r="G1" s="12"/>
      <c r="H1" s="12"/>
      <c r="I1" s="12"/>
      <c r="J1" s="12"/>
      <c r="K1" s="12"/>
      <c r="L1" s="12"/>
      <c r="M1" s="12"/>
      <c r="N1" s="12"/>
    </row>
    <row r="2" spans="1:14" x14ac:dyDescent="0.3">
      <c r="A2" s="12"/>
      <c r="B2" s="12"/>
      <c r="C2" s="12"/>
      <c r="D2" s="12"/>
      <c r="E2" s="12"/>
      <c r="F2" s="12"/>
      <c r="G2" s="12"/>
      <c r="H2" s="12"/>
      <c r="I2" s="12"/>
      <c r="J2" s="12"/>
      <c r="K2" s="12"/>
      <c r="L2" s="12"/>
      <c r="M2" s="12"/>
      <c r="N2" s="12"/>
    </row>
    <row r="3" spans="1:14" x14ac:dyDescent="0.3">
      <c r="A3" s="12"/>
      <c r="B3" s="12"/>
      <c r="C3" s="12"/>
      <c r="D3" s="12"/>
      <c r="E3" s="12"/>
      <c r="F3" s="12"/>
      <c r="G3" s="12"/>
      <c r="H3" s="12"/>
      <c r="I3" s="12"/>
      <c r="J3" s="12"/>
      <c r="K3" s="12"/>
      <c r="L3" s="12"/>
      <c r="M3" s="12"/>
      <c r="N3" s="12"/>
    </row>
    <row r="4" spans="1:14" x14ac:dyDescent="0.3">
      <c r="A4" s="12"/>
      <c r="B4" s="12"/>
      <c r="C4" s="12"/>
      <c r="D4" s="12"/>
      <c r="E4" s="12"/>
      <c r="F4" s="12"/>
      <c r="G4" s="12"/>
      <c r="H4" s="12"/>
      <c r="I4" s="12"/>
      <c r="J4" s="12"/>
      <c r="K4" s="12"/>
      <c r="L4" s="12"/>
      <c r="M4" s="12"/>
      <c r="N4" s="12"/>
    </row>
    <row r="5" spans="1:14" x14ac:dyDescent="0.3">
      <c r="A5" s="12"/>
      <c r="B5" s="12"/>
      <c r="C5" s="12"/>
      <c r="D5" s="12"/>
      <c r="E5" s="12"/>
      <c r="F5" s="12"/>
      <c r="G5" s="12"/>
      <c r="H5" s="12"/>
      <c r="I5" s="12"/>
      <c r="J5" s="12"/>
      <c r="K5" s="12"/>
      <c r="L5" s="12"/>
      <c r="M5" s="12"/>
      <c r="N5" s="12"/>
    </row>
    <row r="6" spans="1:14" x14ac:dyDescent="0.3">
      <c r="A6" s="12"/>
      <c r="B6" s="12"/>
      <c r="C6" s="12"/>
      <c r="D6" s="12"/>
      <c r="E6" s="12"/>
      <c r="F6" s="12"/>
      <c r="G6" s="12"/>
      <c r="H6" s="12"/>
      <c r="I6" s="12"/>
      <c r="J6" s="12"/>
      <c r="K6" s="12"/>
      <c r="L6" s="12"/>
      <c r="M6" s="12"/>
      <c r="N6" s="12"/>
    </row>
    <row r="7" spans="1:14" x14ac:dyDescent="0.3">
      <c r="A7" s="12"/>
      <c r="B7" s="12"/>
      <c r="C7" s="12"/>
      <c r="D7" s="12"/>
      <c r="E7" s="12"/>
      <c r="F7" s="12"/>
      <c r="G7" s="12"/>
      <c r="H7" s="12"/>
      <c r="I7" s="12"/>
      <c r="J7" s="12"/>
      <c r="K7" s="12"/>
      <c r="L7" s="12"/>
      <c r="M7" s="12"/>
      <c r="N7" s="12"/>
    </row>
    <row r="8" spans="1:14" x14ac:dyDescent="0.3">
      <c r="A8" s="12"/>
      <c r="B8" s="12"/>
      <c r="C8" s="12"/>
      <c r="D8" s="12"/>
      <c r="E8" s="12"/>
      <c r="F8" s="12"/>
      <c r="G8" s="12"/>
      <c r="H8" s="12"/>
      <c r="I8" s="12"/>
      <c r="J8" s="12"/>
      <c r="K8" s="12"/>
      <c r="L8" s="12"/>
      <c r="M8" s="12"/>
      <c r="N8" s="12"/>
    </row>
    <row r="9" spans="1:14" x14ac:dyDescent="0.3">
      <c r="A9" s="12"/>
      <c r="B9" s="12"/>
      <c r="C9" s="12"/>
      <c r="D9" s="12"/>
      <c r="E9" s="12"/>
      <c r="F9" s="12"/>
      <c r="G9" s="12"/>
      <c r="H9" s="12"/>
      <c r="I9" s="12"/>
      <c r="J9" s="12"/>
      <c r="K9" s="12"/>
      <c r="L9" s="12"/>
      <c r="M9" s="12"/>
      <c r="N9" s="12"/>
    </row>
    <row r="10" spans="1:14" x14ac:dyDescent="0.3">
      <c r="A10" s="12"/>
      <c r="B10" s="12"/>
      <c r="C10" s="12"/>
      <c r="D10" s="12"/>
      <c r="E10" s="12"/>
      <c r="F10" s="12"/>
      <c r="G10" s="12"/>
      <c r="H10" s="12"/>
      <c r="I10" s="12"/>
      <c r="J10" s="12"/>
      <c r="K10" s="12"/>
      <c r="L10" s="12"/>
      <c r="M10" s="12"/>
      <c r="N10" s="12"/>
    </row>
    <row r="11" spans="1:14" x14ac:dyDescent="0.3">
      <c r="A11" s="12"/>
      <c r="B11" s="12"/>
      <c r="C11" s="12"/>
      <c r="D11" s="12"/>
      <c r="E11" s="12"/>
      <c r="F11" s="12"/>
      <c r="G11" s="12"/>
      <c r="H11" s="12"/>
      <c r="I11" s="12"/>
      <c r="J11" s="12"/>
      <c r="K11" s="12"/>
      <c r="L11" s="12"/>
      <c r="M11" s="12"/>
      <c r="N11" s="12"/>
    </row>
    <row r="12" spans="1:14" x14ac:dyDescent="0.3">
      <c r="A12" s="12"/>
      <c r="B12" s="12"/>
      <c r="C12" s="12"/>
      <c r="D12" s="12"/>
      <c r="E12" s="12"/>
      <c r="F12" s="12"/>
      <c r="G12" s="12"/>
      <c r="H12" s="12"/>
      <c r="I12" s="12"/>
      <c r="J12" s="12"/>
      <c r="K12" s="12"/>
      <c r="L12" s="12"/>
      <c r="M12" s="12"/>
      <c r="N12" s="12"/>
    </row>
    <row r="13" spans="1:14" x14ac:dyDescent="0.3">
      <c r="A13" s="12"/>
      <c r="B13" s="12"/>
      <c r="C13" s="12"/>
      <c r="D13" s="12"/>
      <c r="E13" s="12"/>
      <c r="F13" s="12"/>
      <c r="G13" s="12"/>
      <c r="H13" s="12"/>
      <c r="I13" s="12"/>
      <c r="J13" s="12"/>
      <c r="K13" s="12"/>
      <c r="L13" s="12"/>
      <c r="M13" s="12"/>
      <c r="N13" s="12"/>
    </row>
    <row r="14" spans="1:14" x14ac:dyDescent="0.3">
      <c r="A14" s="12"/>
      <c r="B14" s="12"/>
      <c r="C14" s="12"/>
      <c r="D14" s="12"/>
      <c r="E14" s="12"/>
      <c r="F14" s="12"/>
      <c r="G14" s="12"/>
      <c r="H14" s="12"/>
      <c r="I14" s="12"/>
      <c r="J14" s="12"/>
      <c r="K14" s="12"/>
      <c r="L14" s="12"/>
      <c r="M14" s="12"/>
      <c r="N14" s="12"/>
    </row>
    <row r="15" spans="1:14" x14ac:dyDescent="0.3">
      <c r="A15" s="12"/>
      <c r="B15" s="12"/>
      <c r="C15" s="12"/>
      <c r="D15" s="12"/>
      <c r="E15" s="12"/>
      <c r="F15" s="12"/>
      <c r="G15" s="12"/>
      <c r="H15" s="12"/>
      <c r="I15" s="12"/>
      <c r="J15" s="12"/>
      <c r="K15" s="12"/>
      <c r="L15" s="12"/>
      <c r="M15" s="12"/>
      <c r="N15" s="12"/>
    </row>
    <row r="16" spans="1:14" x14ac:dyDescent="0.3">
      <c r="A16" s="12"/>
      <c r="B16" s="12"/>
      <c r="C16" s="12"/>
      <c r="D16" s="12"/>
      <c r="E16" s="12"/>
      <c r="F16" s="12"/>
      <c r="G16" s="12"/>
      <c r="H16" s="12"/>
      <c r="I16" s="12"/>
      <c r="J16" s="12"/>
      <c r="K16" s="12"/>
      <c r="L16" s="12"/>
      <c r="M16" s="12"/>
      <c r="N16" s="12"/>
    </row>
    <row r="17" spans="1:14" x14ac:dyDescent="0.3">
      <c r="A17" s="12"/>
      <c r="B17" s="12"/>
      <c r="C17" s="12"/>
      <c r="D17" s="12"/>
      <c r="E17" s="12"/>
      <c r="F17" s="12"/>
      <c r="G17" s="12"/>
      <c r="H17" s="12"/>
      <c r="I17" s="12"/>
      <c r="J17" s="12"/>
      <c r="K17" s="12"/>
      <c r="L17" s="12"/>
      <c r="M17" s="12"/>
      <c r="N17" s="12"/>
    </row>
    <row r="18" spans="1:14" x14ac:dyDescent="0.3">
      <c r="A18" s="12"/>
      <c r="B18" s="12"/>
      <c r="C18" s="12"/>
      <c r="D18" s="12"/>
      <c r="E18" s="12"/>
      <c r="F18" s="12"/>
      <c r="G18" s="12"/>
      <c r="H18" s="12"/>
      <c r="I18" s="12"/>
      <c r="J18" s="12"/>
      <c r="K18" s="12"/>
      <c r="L18" s="12"/>
      <c r="M18" s="12"/>
      <c r="N18" s="12"/>
    </row>
    <row r="19" spans="1:14" x14ac:dyDescent="0.3">
      <c r="A19" s="12"/>
      <c r="B19" s="12"/>
      <c r="C19" s="12"/>
      <c r="D19" s="12"/>
      <c r="E19" s="12"/>
      <c r="F19" s="12"/>
      <c r="G19" s="12"/>
      <c r="H19" s="12"/>
      <c r="I19" s="12"/>
      <c r="J19" s="12"/>
      <c r="K19" s="12"/>
      <c r="L19" s="12"/>
      <c r="M19" s="12"/>
      <c r="N19" s="12"/>
    </row>
    <row r="20" spans="1:14" x14ac:dyDescent="0.3">
      <c r="A20" s="12"/>
      <c r="B20" s="12"/>
      <c r="C20" s="12"/>
      <c r="D20" s="12"/>
      <c r="E20" s="12"/>
      <c r="F20" s="12"/>
      <c r="G20" s="12"/>
      <c r="H20" s="12"/>
      <c r="I20" s="12"/>
      <c r="J20" s="12"/>
      <c r="K20" s="12"/>
      <c r="L20" s="12"/>
      <c r="M20" s="12"/>
      <c r="N20" s="12"/>
    </row>
    <row r="21" spans="1:14" x14ac:dyDescent="0.3">
      <c r="A21" s="12"/>
      <c r="B21" s="12"/>
      <c r="C21" s="12"/>
      <c r="D21" s="12"/>
      <c r="E21" s="12"/>
      <c r="F21" s="12"/>
      <c r="G21" s="12"/>
      <c r="H21" s="12"/>
      <c r="I21" s="12"/>
      <c r="J21" s="12"/>
      <c r="K21" s="12"/>
      <c r="L21" s="12"/>
      <c r="M21" s="12"/>
      <c r="N21" s="12"/>
    </row>
    <row r="22" spans="1:14" x14ac:dyDescent="0.3">
      <c r="A22" s="12"/>
      <c r="B22" s="12"/>
      <c r="C22" s="12"/>
      <c r="D22" s="12"/>
      <c r="E22" s="12"/>
      <c r="F22" s="12"/>
      <c r="G22" s="12"/>
      <c r="H22" s="12"/>
      <c r="I22" s="12"/>
      <c r="J22" s="12"/>
      <c r="K22" s="12"/>
      <c r="L22" s="12"/>
      <c r="M22" s="12"/>
      <c r="N22" s="12"/>
    </row>
    <row r="23" spans="1:14" x14ac:dyDescent="0.3">
      <c r="A23" s="12"/>
      <c r="B23" s="12"/>
      <c r="C23" s="12"/>
      <c r="D23" s="12"/>
      <c r="E23" s="12"/>
      <c r="F23" s="12"/>
      <c r="G23" s="12"/>
      <c r="H23" s="12"/>
      <c r="I23" s="12"/>
      <c r="J23" s="12"/>
      <c r="K23" s="12"/>
      <c r="L23" s="12"/>
      <c r="M23" s="12"/>
      <c r="N23" s="12"/>
    </row>
    <row r="24" spans="1:14" x14ac:dyDescent="0.3">
      <c r="A24" s="12"/>
      <c r="B24" s="12"/>
      <c r="C24" s="12"/>
      <c r="D24" s="12"/>
      <c r="E24" s="12"/>
      <c r="F24" s="12"/>
      <c r="G24" s="12"/>
      <c r="H24" s="12"/>
      <c r="I24" s="12"/>
      <c r="J24" s="12"/>
      <c r="K24" s="12"/>
      <c r="L24" s="12"/>
      <c r="M24" s="12"/>
      <c r="N24" s="12"/>
    </row>
    <row r="25" spans="1:14" x14ac:dyDescent="0.3">
      <c r="A25" s="12"/>
      <c r="B25" s="12"/>
      <c r="C25" s="12"/>
      <c r="D25" s="12"/>
      <c r="E25" s="12"/>
      <c r="F25" s="12"/>
      <c r="G25" s="12"/>
      <c r="H25" s="12"/>
      <c r="I25" s="12"/>
      <c r="J25" s="12"/>
      <c r="K25" s="12"/>
      <c r="L25" s="12"/>
      <c r="M25" s="12"/>
      <c r="N25" s="12"/>
    </row>
    <row r="26" spans="1:14" x14ac:dyDescent="0.3">
      <c r="A26" s="12"/>
      <c r="B26" s="12"/>
      <c r="C26" s="12"/>
      <c r="D26" s="12"/>
      <c r="E26" s="12"/>
      <c r="F26" s="12"/>
      <c r="G26" s="12"/>
      <c r="H26" s="12"/>
      <c r="I26" s="12"/>
      <c r="J26" s="12"/>
      <c r="K26" s="12"/>
      <c r="L26" s="12"/>
      <c r="M26" s="12"/>
      <c r="N26" s="12"/>
    </row>
    <row r="27" spans="1:14" x14ac:dyDescent="0.3">
      <c r="A27" s="12"/>
      <c r="B27" s="12"/>
      <c r="C27" s="12"/>
      <c r="D27" s="12"/>
      <c r="E27" s="12"/>
      <c r="F27" s="12"/>
      <c r="G27" s="12"/>
      <c r="H27" s="12"/>
      <c r="I27" s="12"/>
      <c r="J27" s="12"/>
      <c r="K27" s="12"/>
      <c r="L27" s="12"/>
      <c r="M27" s="12"/>
      <c r="N27" s="12"/>
    </row>
    <row r="28" spans="1:14" x14ac:dyDescent="0.3">
      <c r="A28" s="12"/>
      <c r="B28" s="12"/>
      <c r="C28" s="12"/>
      <c r="D28" s="12"/>
      <c r="E28" s="12"/>
      <c r="F28" s="12"/>
      <c r="G28" s="12"/>
      <c r="H28" s="12"/>
      <c r="I28" s="12"/>
      <c r="J28" s="12"/>
      <c r="K28" s="12"/>
      <c r="L28" s="12"/>
      <c r="M28" s="12"/>
      <c r="N28" s="12"/>
    </row>
    <row r="29" spans="1:14" x14ac:dyDescent="0.3">
      <c r="A29" s="12"/>
      <c r="B29" s="12"/>
      <c r="C29" s="12"/>
      <c r="D29" s="12"/>
      <c r="E29" s="12"/>
      <c r="F29" s="12"/>
      <c r="G29" s="12"/>
      <c r="H29" s="12"/>
      <c r="I29" s="12"/>
      <c r="J29" s="12"/>
      <c r="K29" s="12"/>
      <c r="L29" s="12"/>
      <c r="M29" s="12"/>
      <c r="N29" s="12"/>
    </row>
    <row r="30" spans="1:14" x14ac:dyDescent="0.3">
      <c r="A30" s="12"/>
      <c r="B30" s="12"/>
      <c r="C30" s="12"/>
      <c r="D30" s="12"/>
      <c r="E30" s="12"/>
      <c r="F30" s="12"/>
      <c r="G30" s="12"/>
      <c r="H30" s="12"/>
      <c r="I30" s="12"/>
      <c r="J30" s="12"/>
      <c r="K30" s="12"/>
      <c r="L30" s="12"/>
      <c r="M30" s="12"/>
      <c r="N30" s="12"/>
    </row>
    <row r="31" spans="1:14" x14ac:dyDescent="0.3">
      <c r="A31" s="12"/>
      <c r="B31" s="12"/>
      <c r="C31" s="12"/>
      <c r="D31" s="12"/>
      <c r="E31" s="12"/>
      <c r="F31" s="12"/>
      <c r="G31" s="12"/>
      <c r="H31" s="12"/>
      <c r="I31" s="12"/>
      <c r="J31" s="12"/>
      <c r="K31" s="12"/>
      <c r="L31" s="12"/>
      <c r="M31" s="12"/>
      <c r="N31" s="12"/>
    </row>
    <row r="32" spans="1:14" x14ac:dyDescent="0.3">
      <c r="A32" s="12"/>
      <c r="B32" s="12"/>
      <c r="C32" s="12"/>
      <c r="D32" s="12"/>
      <c r="E32" s="12"/>
      <c r="F32" s="12"/>
      <c r="G32" s="12"/>
      <c r="H32" s="12"/>
      <c r="I32" s="12"/>
      <c r="J32" s="12"/>
      <c r="K32" s="12"/>
      <c r="L32" s="12"/>
      <c r="M32" s="12"/>
      <c r="N32" s="12"/>
    </row>
    <row r="33" spans="1:14" x14ac:dyDescent="0.3">
      <c r="A33" s="12"/>
      <c r="B33" s="12"/>
      <c r="C33" s="12"/>
      <c r="D33" s="12"/>
      <c r="E33" s="12"/>
      <c r="F33" s="12"/>
      <c r="G33" s="12"/>
      <c r="H33" s="12"/>
      <c r="I33" s="12"/>
      <c r="J33" s="12"/>
      <c r="K33" s="12"/>
      <c r="L33" s="12"/>
      <c r="M33" s="12"/>
      <c r="N33" s="12"/>
    </row>
    <row r="34" spans="1:14" x14ac:dyDescent="0.3">
      <c r="A34" s="12"/>
      <c r="B34" s="12"/>
      <c r="C34" s="12"/>
      <c r="D34" s="12"/>
      <c r="E34" s="12"/>
      <c r="F34" s="12"/>
      <c r="G34" s="12"/>
      <c r="H34" s="12"/>
      <c r="I34" s="12"/>
      <c r="J34" s="12"/>
      <c r="K34" s="12"/>
      <c r="L34" s="12"/>
      <c r="M34" s="12"/>
      <c r="N34" s="12"/>
    </row>
    <row r="35" spans="1:14" x14ac:dyDescent="0.3">
      <c r="A35" s="12"/>
      <c r="B35" s="12"/>
      <c r="C35" s="12"/>
      <c r="D35" s="12"/>
      <c r="E35" s="12"/>
      <c r="F35" s="12"/>
      <c r="G35" s="12"/>
      <c r="H35" s="12"/>
      <c r="I35" s="12"/>
      <c r="J35" s="12"/>
      <c r="K35" s="12"/>
      <c r="L35" s="12"/>
      <c r="M35" s="12"/>
      <c r="N35" s="12"/>
    </row>
    <row r="36" spans="1:14" x14ac:dyDescent="0.3">
      <c r="A36" s="12"/>
      <c r="B36" s="12"/>
      <c r="C36" s="12"/>
      <c r="D36" s="12"/>
      <c r="E36" s="12"/>
      <c r="F36" s="12"/>
      <c r="G36" s="12"/>
      <c r="H36" s="12"/>
      <c r="I36" s="12"/>
      <c r="J36" s="12"/>
      <c r="K36" s="12"/>
      <c r="L36" s="12"/>
      <c r="M36" s="12"/>
      <c r="N36" s="12"/>
    </row>
    <row r="37" spans="1:14" x14ac:dyDescent="0.3">
      <c r="A37" s="12"/>
      <c r="B37" s="12"/>
      <c r="C37" s="12"/>
      <c r="D37" s="12"/>
      <c r="E37" s="12"/>
      <c r="F37" s="12"/>
      <c r="G37" s="12"/>
      <c r="H37" s="12"/>
      <c r="I37" s="12"/>
      <c r="J37" s="12"/>
      <c r="K37" s="12"/>
      <c r="L37" s="12"/>
      <c r="M37" s="12"/>
      <c r="N37" s="12"/>
    </row>
    <row r="38" spans="1:14" x14ac:dyDescent="0.3">
      <c r="A38" s="12"/>
      <c r="B38" s="12"/>
      <c r="C38" s="12"/>
      <c r="D38" s="12"/>
      <c r="E38" s="12"/>
      <c r="F38" s="12"/>
      <c r="G38" s="12"/>
      <c r="H38" s="12"/>
      <c r="I38" s="12"/>
      <c r="J38" s="12"/>
      <c r="K38" s="12"/>
      <c r="L38" s="12"/>
      <c r="M38" s="12"/>
      <c r="N38" s="12"/>
    </row>
    <row r="39" spans="1:14" x14ac:dyDescent="0.3">
      <c r="A39" s="12"/>
      <c r="B39" s="12"/>
      <c r="C39" s="12"/>
      <c r="D39" s="12"/>
      <c r="E39" s="12"/>
      <c r="F39" s="12"/>
      <c r="G39" s="12"/>
      <c r="H39" s="12"/>
      <c r="I39" s="12"/>
      <c r="J39" s="12"/>
      <c r="K39" s="12"/>
      <c r="L39" s="12"/>
      <c r="M39" s="12"/>
      <c r="N39" s="12"/>
    </row>
    <row r="40" spans="1:14" x14ac:dyDescent="0.3">
      <c r="A40" s="12"/>
      <c r="B40" s="12"/>
      <c r="C40" s="12"/>
      <c r="D40" s="12"/>
      <c r="E40" s="12"/>
      <c r="F40" s="12"/>
      <c r="G40" s="12"/>
      <c r="H40" s="12"/>
      <c r="I40" s="12"/>
      <c r="J40" s="12"/>
      <c r="K40" s="12"/>
      <c r="L40" s="12"/>
      <c r="M40" s="12"/>
      <c r="N40" s="12"/>
    </row>
    <row r="41" spans="1:14" x14ac:dyDescent="0.3">
      <c r="A41" s="12"/>
      <c r="B41" s="12"/>
      <c r="C41" s="12"/>
      <c r="D41" s="12"/>
      <c r="E41" s="12"/>
      <c r="F41" s="12"/>
      <c r="G41" s="12"/>
      <c r="H41" s="12"/>
      <c r="I41" s="12"/>
      <c r="J41" s="12"/>
      <c r="K41" s="12"/>
      <c r="L41" s="12"/>
      <c r="M41" s="12"/>
      <c r="N41" s="12"/>
    </row>
    <row r="42" spans="1:14" x14ac:dyDescent="0.3">
      <c r="A42" s="12"/>
      <c r="B42" s="12"/>
      <c r="C42" s="12"/>
      <c r="D42" s="12"/>
      <c r="E42" s="12"/>
      <c r="F42" s="12"/>
      <c r="G42" s="12"/>
      <c r="H42" s="12"/>
      <c r="I42" s="12"/>
      <c r="J42" s="12"/>
      <c r="K42" s="12"/>
      <c r="L42" s="12"/>
      <c r="M42" s="12"/>
      <c r="N42" s="12"/>
    </row>
    <row r="43" spans="1:14" x14ac:dyDescent="0.3">
      <c r="A43" s="12"/>
      <c r="B43" s="12"/>
      <c r="C43" s="12"/>
      <c r="D43" s="12"/>
      <c r="E43" s="12"/>
      <c r="F43" s="12"/>
      <c r="G43" s="12"/>
      <c r="H43" s="12"/>
      <c r="I43" s="12"/>
      <c r="J43" s="12"/>
      <c r="K43" s="12"/>
      <c r="L43" s="12"/>
      <c r="M43" s="12"/>
      <c r="N43" s="12"/>
    </row>
    <row r="53" spans="18:18" x14ac:dyDescent="0.3">
      <c r="R53" s="3"/>
    </row>
  </sheetData>
  <pageMargins left="0.70866141732283472" right="0.70866141732283472" top="0.74803149606299213" bottom="0.74803149606299213" header="0.31496062992125984" footer="0.31496062992125984"/>
  <pageSetup paperSize="9"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6"/>
  <sheetViews>
    <sheetView view="pageBreakPreview" topLeftCell="A17" zoomScale="60" zoomScaleNormal="100" workbookViewId="0">
      <selection activeCell="AE27" sqref="AE27"/>
    </sheetView>
  </sheetViews>
  <sheetFormatPr defaultColWidth="9.109375" defaultRowHeight="10.199999999999999" x14ac:dyDescent="0.2"/>
  <cols>
    <col min="1" max="1" width="8.33203125" style="267" customWidth="1"/>
    <col min="2" max="13" width="8.33203125" style="46" customWidth="1"/>
    <col min="14" max="16" width="9.33203125" style="46" customWidth="1"/>
    <col min="17" max="16384" width="9.109375" style="46"/>
  </cols>
  <sheetData>
    <row r="1" spans="1:18" ht="25.2" customHeight="1" x14ac:dyDescent="0.3">
      <c r="A1" s="558" t="s">
        <v>919</v>
      </c>
      <c r="B1" s="558"/>
      <c r="C1" s="558"/>
      <c r="D1" s="558"/>
      <c r="E1" s="558"/>
      <c r="F1" s="558"/>
      <c r="G1" s="558"/>
      <c r="H1" s="558"/>
      <c r="I1" s="558"/>
      <c r="J1" s="558"/>
      <c r="K1" s="558"/>
      <c r="L1" s="558"/>
      <c r="M1" s="558"/>
      <c r="N1" s="558"/>
      <c r="O1" s="435"/>
      <c r="P1" s="435"/>
    </row>
    <row r="2" spans="1:18" ht="37.799999999999997" customHeight="1" x14ac:dyDescent="0.2">
      <c r="A2" s="134" t="s">
        <v>905</v>
      </c>
      <c r="B2" s="555" t="s">
        <v>910</v>
      </c>
      <c r="C2" s="556"/>
      <c r="D2" s="556"/>
      <c r="E2" s="556"/>
      <c r="F2" s="556"/>
      <c r="G2" s="556"/>
      <c r="H2" s="556"/>
      <c r="I2" s="556"/>
      <c r="J2" s="556"/>
      <c r="K2" s="556"/>
      <c r="L2" s="556"/>
      <c r="M2" s="556"/>
      <c r="N2" s="525"/>
      <c r="O2" s="526"/>
      <c r="P2" s="551" t="s">
        <v>434</v>
      </c>
      <c r="Q2" s="551"/>
      <c r="R2" s="551"/>
    </row>
    <row r="3" spans="1:18" ht="30.6" customHeight="1" x14ac:dyDescent="0.2">
      <c r="A3" s="135"/>
      <c r="B3" s="243"/>
      <c r="C3" s="137" t="s">
        <v>435</v>
      </c>
      <c r="D3" s="137" t="s">
        <v>436</v>
      </c>
      <c r="E3" s="137" t="s">
        <v>437</v>
      </c>
      <c r="F3" s="137" t="s">
        <v>438</v>
      </c>
      <c r="G3" s="137" t="s">
        <v>439</v>
      </c>
      <c r="H3" s="137" t="s">
        <v>440</v>
      </c>
      <c r="I3" s="137" t="s">
        <v>441</v>
      </c>
      <c r="J3" s="137" t="s">
        <v>442</v>
      </c>
      <c r="K3" s="137" t="s">
        <v>443</v>
      </c>
      <c r="L3" s="137" t="s">
        <v>444</v>
      </c>
      <c r="M3" s="138" t="s">
        <v>445</v>
      </c>
      <c r="N3" s="136" t="s">
        <v>446</v>
      </c>
      <c r="O3" s="139" t="s">
        <v>915</v>
      </c>
      <c r="P3" s="138" t="s">
        <v>910</v>
      </c>
      <c r="Q3" s="519" t="s">
        <v>908</v>
      </c>
      <c r="R3" s="519" t="s">
        <v>909</v>
      </c>
    </row>
    <row r="4" spans="1:18" s="267" customFormat="1" ht="20.399999999999999" x14ac:dyDescent="0.2">
      <c r="A4" s="268" t="s">
        <v>872</v>
      </c>
      <c r="B4" s="520"/>
      <c r="C4" s="521" t="s">
        <v>918</v>
      </c>
      <c r="D4" s="521" t="s">
        <v>918</v>
      </c>
      <c r="E4" s="521" t="s">
        <v>918</v>
      </c>
      <c r="F4" s="521" t="s">
        <v>918</v>
      </c>
      <c r="G4" s="521" t="s">
        <v>918</v>
      </c>
      <c r="H4" s="521" t="s">
        <v>918</v>
      </c>
      <c r="I4" s="521" t="s">
        <v>804</v>
      </c>
      <c r="J4" s="521" t="s">
        <v>804</v>
      </c>
      <c r="K4" s="521" t="s">
        <v>804</v>
      </c>
      <c r="L4" s="521" t="s">
        <v>804</v>
      </c>
      <c r="M4" s="522" t="s">
        <v>804</v>
      </c>
      <c r="N4" s="523" t="s">
        <v>804</v>
      </c>
      <c r="O4" s="521" t="s">
        <v>804</v>
      </c>
      <c r="P4" s="524" t="s">
        <v>804</v>
      </c>
      <c r="Q4" s="519" t="s">
        <v>804</v>
      </c>
      <c r="R4" s="519" t="s">
        <v>804</v>
      </c>
    </row>
    <row r="5" spans="1:18" ht="12.75" customHeight="1" x14ac:dyDescent="0.2">
      <c r="A5" s="269" t="str">
        <f>'[2]B3-FinPerf V'!A6</f>
        <v>Revenue by Vote</v>
      </c>
      <c r="B5" s="54"/>
      <c r="C5" s="54"/>
      <c r="D5" s="54"/>
      <c r="E5" s="54"/>
      <c r="F5" s="54"/>
      <c r="G5" s="54"/>
      <c r="H5" s="54"/>
      <c r="I5" s="54"/>
      <c r="J5" s="54"/>
      <c r="K5" s="54"/>
      <c r="L5" s="54"/>
      <c r="M5" s="64"/>
      <c r="N5" s="150"/>
      <c r="O5" s="52"/>
      <c r="P5" s="146"/>
    </row>
    <row r="6" spans="1:18" ht="12.75" customHeight="1" x14ac:dyDescent="0.2">
      <c r="A6" s="269" t="str">
        <f>'[2]B3-FinPerf V'!A7</f>
        <v>Vote 1 - Executive &amp; Council</v>
      </c>
      <c r="B6" s="54"/>
      <c r="C6" s="54"/>
      <c r="D6" s="54"/>
      <c r="E6" s="54"/>
      <c r="F6" s="54"/>
      <c r="G6" s="54"/>
      <c r="H6" s="54"/>
      <c r="I6" s="54"/>
      <c r="J6" s="54"/>
      <c r="K6" s="54"/>
      <c r="L6" s="54"/>
      <c r="M6" s="64"/>
      <c r="N6" s="150">
        <f t="shared" ref="N6:N20" si="0">P6-SUM(C6:M6)</f>
        <v>0</v>
      </c>
      <c r="O6" s="90">
        <f t="shared" ref="O6:O14" si="1">SUM(C6:N6)</f>
        <v>0</v>
      </c>
      <c r="P6" s="147">
        <f>'[2]B3-FinPerf V'!K7</f>
        <v>0</v>
      </c>
      <c r="Q6" s="46">
        <f>'[2]B3-FinPerf V'!L7</f>
        <v>0</v>
      </c>
      <c r="R6" s="46">
        <f>'[2]B3-FinPerf V'!M7</f>
        <v>0</v>
      </c>
    </row>
    <row r="7" spans="1:18" ht="12.75" customHeight="1" x14ac:dyDescent="0.2">
      <c r="A7" s="269" t="str">
        <f>'[2]B3-FinPerf V'!A8</f>
        <v>Vote 2 - Finance and Administration</v>
      </c>
      <c r="B7" s="54"/>
      <c r="C7" s="54">
        <v>118806766</v>
      </c>
      <c r="D7" s="54">
        <v>2770670</v>
      </c>
      <c r="E7" s="54">
        <v>61647069</v>
      </c>
      <c r="F7" s="54">
        <v>2365755</v>
      </c>
      <c r="G7" s="54">
        <v>3587124</v>
      </c>
      <c r="H7" s="54">
        <v>97365854</v>
      </c>
      <c r="I7" s="54">
        <v>1365756</v>
      </c>
      <c r="J7" s="54">
        <v>2576524</v>
      </c>
      <c r="K7" s="54">
        <v>72321457</v>
      </c>
      <c r="L7" s="54">
        <v>1357654</v>
      </c>
      <c r="M7" s="64">
        <v>3195752</v>
      </c>
      <c r="N7" s="150">
        <f t="shared" si="0"/>
        <v>7556135.3151999712</v>
      </c>
      <c r="O7" s="90">
        <f t="shared" si="1"/>
        <v>374916516.31519997</v>
      </c>
      <c r="P7" s="147">
        <f>'[2]B3-FinPerf V'!K8</f>
        <v>374916516.31519997</v>
      </c>
      <c r="Q7" s="46">
        <f>'[2]B3-FinPerf V'!L8</f>
        <v>392840929.79578203</v>
      </c>
      <c r="R7" s="46">
        <f>'[2]B3-FinPerf V'!M8</f>
        <v>420919388.00475401</v>
      </c>
    </row>
    <row r="8" spans="1:18" ht="12.75" customHeight="1" x14ac:dyDescent="0.2">
      <c r="A8" s="269" t="str">
        <f>'[2]B3-FinPerf V'!A9</f>
        <v>Vote 3 - Internal Audit</v>
      </c>
      <c r="B8" s="54"/>
      <c r="C8" s="54"/>
      <c r="D8" s="54"/>
      <c r="E8" s="54"/>
      <c r="F8" s="54"/>
      <c r="G8" s="54"/>
      <c r="H8" s="54"/>
      <c r="I8" s="54"/>
      <c r="J8" s="54"/>
      <c r="K8" s="54"/>
      <c r="L8" s="54"/>
      <c r="M8" s="64"/>
      <c r="N8" s="150">
        <f t="shared" si="0"/>
        <v>0</v>
      </c>
      <c r="O8" s="90">
        <f t="shared" si="1"/>
        <v>0</v>
      </c>
      <c r="P8" s="147">
        <f>'[2]B3-FinPerf V'!K9</f>
        <v>0</v>
      </c>
      <c r="Q8" s="46">
        <f>'[2]B3-FinPerf V'!L9</f>
        <v>0</v>
      </c>
      <c r="R8" s="46">
        <f>'[2]B3-FinPerf V'!M9</f>
        <v>0</v>
      </c>
    </row>
    <row r="9" spans="1:18" ht="12.75" customHeight="1" x14ac:dyDescent="0.2">
      <c r="A9" s="269" t="str">
        <f>'[2]B3-FinPerf V'!A10</f>
        <v>Vote 4 - Community and Public Safety</v>
      </c>
      <c r="B9" s="54"/>
      <c r="C9" s="54"/>
      <c r="D9" s="54"/>
      <c r="E9" s="54"/>
      <c r="F9" s="54"/>
      <c r="G9" s="54"/>
      <c r="H9" s="54"/>
      <c r="I9" s="54"/>
      <c r="J9" s="54"/>
      <c r="K9" s="54"/>
      <c r="L9" s="54"/>
      <c r="M9" s="64"/>
      <c r="N9" s="150">
        <f t="shared" si="0"/>
        <v>0</v>
      </c>
      <c r="O9" s="90">
        <f t="shared" si="1"/>
        <v>0</v>
      </c>
      <c r="P9" s="147">
        <f>'[2]B3-FinPerf V'!K10</f>
        <v>0</v>
      </c>
      <c r="Q9" s="46">
        <f>'[2]B3-FinPerf V'!L10</f>
        <v>0</v>
      </c>
      <c r="R9" s="46">
        <f>'[2]B3-FinPerf V'!M10</f>
        <v>0</v>
      </c>
    </row>
    <row r="10" spans="1:18" ht="12.75" customHeight="1" x14ac:dyDescent="0.2">
      <c r="A10" s="269" t="str">
        <f>'[2]B3-FinPerf V'!A11</f>
        <v>Vote 5 - Sports and Recreation</v>
      </c>
      <c r="B10" s="181"/>
      <c r="C10" s="94"/>
      <c r="D10" s="94"/>
      <c r="E10" s="94"/>
      <c r="F10" s="94"/>
      <c r="G10" s="94"/>
      <c r="H10" s="94"/>
      <c r="I10" s="94"/>
      <c r="J10" s="94"/>
      <c r="K10" s="94"/>
      <c r="L10" s="94"/>
      <c r="M10" s="98"/>
      <c r="N10" s="244">
        <f t="shared" si="0"/>
        <v>0</v>
      </c>
      <c r="O10" s="96">
        <f t="shared" si="1"/>
        <v>0</v>
      </c>
      <c r="P10" s="245">
        <f>'[2]B3-FinPerf V'!K11</f>
        <v>0</v>
      </c>
      <c r="Q10" s="46">
        <f>'[2]B3-FinPerf V'!L11</f>
        <v>0</v>
      </c>
      <c r="R10" s="46">
        <f>'[2]B3-FinPerf V'!M11</f>
        <v>0</v>
      </c>
    </row>
    <row r="11" spans="1:18" ht="12.75" customHeight="1" x14ac:dyDescent="0.2">
      <c r="A11" s="269" t="str">
        <f>'[2]B3-FinPerf V'!A12</f>
        <v>Vote 6 - Housing</v>
      </c>
      <c r="B11" s="54"/>
      <c r="C11" s="54"/>
      <c r="D11" s="54"/>
      <c r="E11" s="54"/>
      <c r="F11" s="54"/>
      <c r="G11" s="54"/>
      <c r="H11" s="54"/>
      <c r="I11" s="54"/>
      <c r="J11" s="54"/>
      <c r="K11" s="54"/>
      <c r="L11" s="54"/>
      <c r="M11" s="64"/>
      <c r="N11" s="150">
        <f t="shared" si="0"/>
        <v>0</v>
      </c>
      <c r="O11" s="52">
        <f t="shared" si="1"/>
        <v>0</v>
      </c>
      <c r="P11" s="146">
        <f>'[2]B3-FinPerf V'!K12</f>
        <v>0</v>
      </c>
      <c r="Q11" s="46">
        <f>'[2]B3-FinPerf V'!L12</f>
        <v>0</v>
      </c>
      <c r="R11" s="46">
        <f>'[2]B3-FinPerf V'!M12</f>
        <v>0</v>
      </c>
    </row>
    <row r="12" spans="1:18" ht="12.75" customHeight="1" x14ac:dyDescent="0.2">
      <c r="A12" s="269" t="str">
        <f>'[2]B3-FinPerf V'!A13</f>
        <v xml:space="preserve">Vote 7 - Planning and development </v>
      </c>
      <c r="B12" s="54"/>
      <c r="C12" s="54"/>
      <c r="D12" s="54"/>
      <c r="E12" s="54"/>
      <c r="F12" s="54"/>
      <c r="G12" s="54"/>
      <c r="H12" s="54"/>
      <c r="I12" s="54"/>
      <c r="J12" s="54"/>
      <c r="K12" s="54"/>
      <c r="L12" s="54"/>
      <c r="M12" s="64"/>
      <c r="N12" s="150">
        <f t="shared" si="0"/>
        <v>0</v>
      </c>
      <c r="O12" s="52">
        <f t="shared" si="1"/>
        <v>0</v>
      </c>
      <c r="P12" s="146">
        <f>'[2]B3-FinPerf V'!K13</f>
        <v>0</v>
      </c>
      <c r="Q12" s="46">
        <f>'[2]B3-FinPerf V'!L13</f>
        <v>0</v>
      </c>
      <c r="R12" s="46">
        <f>'[2]B3-FinPerf V'!M13</f>
        <v>0</v>
      </c>
    </row>
    <row r="13" spans="1:18" ht="12.75" customHeight="1" x14ac:dyDescent="0.2">
      <c r="A13" s="269" t="str">
        <f>'[2]B3-FinPerf V'!A14</f>
        <v>Vote 8 - Road Transport</v>
      </c>
      <c r="B13" s="54"/>
      <c r="C13" s="54">
        <v>1741807</v>
      </c>
      <c r="D13" s="54">
        <v>7750</v>
      </c>
      <c r="E13" s="54">
        <v>1537763</v>
      </c>
      <c r="F13" s="54">
        <v>1985642</v>
      </c>
      <c r="G13" s="54">
        <v>1563854</v>
      </c>
      <c r="H13" s="54">
        <v>1357658</v>
      </c>
      <c r="I13" s="54">
        <v>1275375</v>
      </c>
      <c r="J13" s="54">
        <v>1023657</v>
      </c>
      <c r="K13" s="54">
        <v>1563875</v>
      </c>
      <c r="L13" s="54">
        <v>1297565</v>
      </c>
      <c r="M13" s="64">
        <v>1175635</v>
      </c>
      <c r="N13" s="150">
        <f t="shared" si="0"/>
        <v>3238093.0600000024</v>
      </c>
      <c r="O13" s="52">
        <f t="shared" si="1"/>
        <v>17768674.060000002</v>
      </c>
      <c r="P13" s="146">
        <f>'[2]B3-FinPerf V'!K14</f>
        <v>17768674.060000002</v>
      </c>
      <c r="Q13" s="46">
        <f>'[2]B3-FinPerf V'!L14</f>
        <v>17135820.230087802</v>
      </c>
      <c r="R13" s="46">
        <f>'[2]B3-FinPerf V'!M14</f>
        <v>18061154.522512499</v>
      </c>
    </row>
    <row r="14" spans="1:18" ht="10.199999999999999" customHeight="1" x14ac:dyDescent="0.2">
      <c r="A14" s="269" t="str">
        <f>'[2]B3-FinPerf V'!A15</f>
        <v>Vote 9 - Energy Sources</v>
      </c>
      <c r="B14" s="54"/>
      <c r="C14" s="54">
        <v>1131384.17</v>
      </c>
      <c r="D14" s="54">
        <v>1249760</v>
      </c>
      <c r="E14" s="54">
        <v>449208</v>
      </c>
      <c r="F14" s="54">
        <v>1696522</v>
      </c>
      <c r="G14" s="54">
        <v>1776524</v>
      </c>
      <c r="H14" s="54">
        <v>1946525</v>
      </c>
      <c r="I14" s="54">
        <v>2036985</v>
      </c>
      <c r="J14" s="54">
        <v>1865352</v>
      </c>
      <c r="K14" s="54">
        <v>2333546</v>
      </c>
      <c r="L14" s="54">
        <v>2163480</v>
      </c>
      <c r="M14" s="64">
        <v>2035475</v>
      </c>
      <c r="N14" s="150">
        <f t="shared" si="0"/>
        <v>7801692.7969599962</v>
      </c>
      <c r="O14" s="52">
        <f t="shared" si="1"/>
        <v>26486453.966959998</v>
      </c>
      <c r="P14" s="146">
        <f>'[2]B3-FinPerf V'!K15</f>
        <v>26486453.966959998</v>
      </c>
      <c r="Q14" s="46">
        <f>'[2]B3-FinPerf V'!L15</f>
        <v>23638029.913544402</v>
      </c>
      <c r="R14" s="46">
        <f>'[2]B3-FinPerf V'!M15</f>
        <v>24536483.528875802</v>
      </c>
    </row>
    <row r="15" spans="1:18" ht="12.75" customHeight="1" x14ac:dyDescent="0.2">
      <c r="A15" s="269" t="str">
        <f>'[2]B3-FinPerf V'!A16</f>
        <v>Vote 10 - Waste Water Management</v>
      </c>
      <c r="B15" s="54"/>
      <c r="C15" s="54"/>
      <c r="D15" s="54"/>
      <c r="E15" s="54"/>
      <c r="F15" s="54"/>
      <c r="G15" s="54"/>
      <c r="H15" s="54"/>
      <c r="I15" s="54"/>
      <c r="J15" s="54"/>
      <c r="K15" s="54"/>
      <c r="L15" s="54"/>
      <c r="M15" s="64"/>
      <c r="N15" s="150">
        <f t="shared" si="0"/>
        <v>0</v>
      </c>
      <c r="O15" s="52"/>
      <c r="P15" s="146">
        <f>'[2]B3-FinPerf V'!K16</f>
        <v>0</v>
      </c>
      <c r="Q15" s="46">
        <f>'[2]B3-FinPerf V'!L16</f>
        <v>0</v>
      </c>
      <c r="R15" s="46">
        <f>'[2]B3-FinPerf V'!M16</f>
        <v>0</v>
      </c>
    </row>
    <row r="16" spans="1:18" ht="12.75" customHeight="1" x14ac:dyDescent="0.2">
      <c r="A16" s="269" t="str">
        <f>'[2]B3-FinPerf V'!A17</f>
        <v>Vote 11 - Waste Management</v>
      </c>
      <c r="B16" s="54"/>
      <c r="C16" s="54">
        <v>453314</v>
      </c>
      <c r="D16" s="54">
        <v>453210</v>
      </c>
      <c r="E16" s="54">
        <v>454964</v>
      </c>
      <c r="F16" s="54">
        <v>490352</v>
      </c>
      <c r="G16" s="54">
        <v>475632</v>
      </c>
      <c r="H16" s="54">
        <v>593452</v>
      </c>
      <c r="I16" s="54">
        <v>544635</v>
      </c>
      <c r="J16" s="54">
        <v>640635</v>
      </c>
      <c r="K16" s="54">
        <v>610632</v>
      </c>
      <c r="L16" s="54">
        <v>634954</v>
      </c>
      <c r="M16" s="64">
        <v>678521</v>
      </c>
      <c r="N16" s="150">
        <f t="shared" si="0"/>
        <v>641751.99999999907</v>
      </c>
      <c r="O16" s="52"/>
      <c r="P16" s="146">
        <f>'[2]B3-FinPerf V'!K17</f>
        <v>6672052.9999999991</v>
      </c>
      <c r="Q16" s="46">
        <f>'[2]B3-FinPerf V'!L17</f>
        <v>7032344.3411905598</v>
      </c>
      <c r="R16" s="46">
        <f>'[2]B3-FinPerf V'!M17</f>
        <v>7412090.9356148504</v>
      </c>
    </row>
    <row r="17" spans="1:18" ht="12.75" customHeight="1" x14ac:dyDescent="0.2">
      <c r="A17" s="269" t="str">
        <f>'[2]B3-FinPerf V'!A18</f>
        <v>Vote 12 - [NAME OF VOTE 12]</v>
      </c>
      <c r="B17" s="54"/>
      <c r="C17" s="54"/>
      <c r="D17" s="54"/>
      <c r="E17" s="54"/>
      <c r="F17" s="54"/>
      <c r="G17" s="54"/>
      <c r="H17" s="54"/>
      <c r="I17" s="54"/>
      <c r="J17" s="54"/>
      <c r="K17" s="54"/>
      <c r="L17" s="54"/>
      <c r="M17" s="64"/>
      <c r="N17" s="150">
        <f t="shared" si="0"/>
        <v>0</v>
      </c>
      <c r="O17" s="52"/>
      <c r="P17" s="146">
        <f>'[2]B3-FinPerf V'!K18</f>
        <v>0</v>
      </c>
      <c r="Q17" s="46">
        <f>'[2]B3-FinPerf V'!L18</f>
        <v>0</v>
      </c>
      <c r="R17" s="46">
        <f>'[2]B3-FinPerf V'!M18</f>
        <v>0</v>
      </c>
    </row>
    <row r="18" spans="1:18" ht="12.75" customHeight="1" x14ac:dyDescent="0.2">
      <c r="A18" s="269" t="str">
        <f>'[2]B3-FinPerf V'!A19</f>
        <v>Vote 13 - [NAME OF VOTE 13]</v>
      </c>
      <c r="B18" s="54"/>
      <c r="C18" s="54"/>
      <c r="D18" s="54"/>
      <c r="E18" s="54"/>
      <c r="F18" s="54"/>
      <c r="G18" s="54"/>
      <c r="H18" s="54"/>
      <c r="I18" s="54"/>
      <c r="J18" s="54"/>
      <c r="K18" s="54"/>
      <c r="L18" s="54"/>
      <c r="M18" s="64"/>
      <c r="N18" s="150">
        <f t="shared" si="0"/>
        <v>0</v>
      </c>
      <c r="O18" s="52"/>
      <c r="P18" s="146">
        <f>'[2]B3-FinPerf V'!K19</f>
        <v>0</v>
      </c>
      <c r="Q18" s="46">
        <f>'[2]B3-FinPerf V'!L19</f>
        <v>0</v>
      </c>
      <c r="R18" s="46">
        <f>'[2]B3-FinPerf V'!M19</f>
        <v>0</v>
      </c>
    </row>
    <row r="19" spans="1:18" ht="12.75" customHeight="1" x14ac:dyDescent="0.2">
      <c r="A19" s="269" t="str">
        <f>'[2]B3-FinPerf V'!A20</f>
        <v>Vote 14 - [NAME OF VOTE 14]</v>
      </c>
      <c r="B19" s="54"/>
      <c r="C19" s="54"/>
      <c r="D19" s="54"/>
      <c r="E19" s="54"/>
      <c r="F19" s="54"/>
      <c r="G19" s="54"/>
      <c r="H19" s="54"/>
      <c r="I19" s="54"/>
      <c r="J19" s="54"/>
      <c r="K19" s="54"/>
      <c r="L19" s="54"/>
      <c r="M19" s="64"/>
      <c r="N19" s="150">
        <f t="shared" si="0"/>
        <v>0</v>
      </c>
      <c r="O19" s="52"/>
      <c r="P19" s="146">
        <f>'[2]B3-FinPerf V'!K20</f>
        <v>0</v>
      </c>
      <c r="Q19" s="46">
        <f>'[2]B3-FinPerf V'!L20</f>
        <v>0</v>
      </c>
      <c r="R19" s="46">
        <f>'[2]B3-FinPerf V'!M20</f>
        <v>0</v>
      </c>
    </row>
    <row r="20" spans="1:18" ht="12.75" customHeight="1" x14ac:dyDescent="0.2">
      <c r="A20" s="269" t="str">
        <f>'[2]B3-FinPerf V'!A21</f>
        <v>Vote 15 - [NAME OF VOTE 15]</v>
      </c>
      <c r="B20" s="54"/>
      <c r="C20" s="54"/>
      <c r="D20" s="54"/>
      <c r="E20" s="54"/>
      <c r="F20" s="54"/>
      <c r="G20" s="54"/>
      <c r="H20" s="54"/>
      <c r="I20" s="54"/>
      <c r="J20" s="54"/>
      <c r="K20" s="54"/>
      <c r="L20" s="54"/>
      <c r="M20" s="64"/>
      <c r="N20" s="150">
        <f t="shared" si="0"/>
        <v>0</v>
      </c>
      <c r="O20" s="52">
        <f>SUM(C20:N20)</f>
        <v>0</v>
      </c>
      <c r="P20" s="146">
        <f>'[2]B3-FinPerf V'!K21</f>
        <v>0</v>
      </c>
      <c r="Q20" s="46">
        <f>'[2]B3-FinPerf V'!L21</f>
        <v>0</v>
      </c>
      <c r="R20" s="46">
        <f>'[2]B3-FinPerf V'!M21</f>
        <v>0</v>
      </c>
    </row>
    <row r="21" spans="1:18" ht="12.75" customHeight="1" x14ac:dyDescent="0.2">
      <c r="A21" s="190" t="str">
        <f>'[2]B3-FinPerf V'!A22</f>
        <v>Total Revenue by Vote</v>
      </c>
      <c r="B21" s="57"/>
      <c r="C21" s="58">
        <f t="shared" ref="C21:R21" si="2">SUM(C6:C20)</f>
        <v>122133271.17</v>
      </c>
      <c r="D21" s="58">
        <f t="shared" si="2"/>
        <v>4481390</v>
      </c>
      <c r="E21" s="58">
        <f t="shared" si="2"/>
        <v>64089004</v>
      </c>
      <c r="F21" s="58">
        <f t="shared" si="2"/>
        <v>6538271</v>
      </c>
      <c r="G21" s="58">
        <f t="shared" si="2"/>
        <v>7403134</v>
      </c>
      <c r="H21" s="58">
        <f t="shared" si="2"/>
        <v>101263489</v>
      </c>
      <c r="I21" s="58">
        <f t="shared" si="2"/>
        <v>5222751</v>
      </c>
      <c r="J21" s="58">
        <f t="shared" si="2"/>
        <v>6106168</v>
      </c>
      <c r="K21" s="58">
        <f t="shared" si="2"/>
        <v>76829510</v>
      </c>
      <c r="L21" s="58">
        <f t="shared" si="2"/>
        <v>5453653</v>
      </c>
      <c r="M21" s="59">
        <f t="shared" si="2"/>
        <v>7085383</v>
      </c>
      <c r="N21" s="148">
        <f t="shared" si="2"/>
        <v>19237673.17215997</v>
      </c>
      <c r="O21" s="58">
        <f t="shared" si="2"/>
        <v>419171644.34215999</v>
      </c>
      <c r="P21" s="149">
        <f t="shared" si="2"/>
        <v>425843697.34215999</v>
      </c>
      <c r="Q21" s="46">
        <f t="shared" si="2"/>
        <v>440647124.28060484</v>
      </c>
      <c r="R21" s="46">
        <f t="shared" si="2"/>
        <v>470929116.99175715</v>
      </c>
    </row>
    <row r="22" spans="1:18" ht="12.75" customHeight="1" x14ac:dyDescent="0.2">
      <c r="A22" s="270"/>
      <c r="B22" s="73"/>
      <c r="C22" s="52"/>
      <c r="D22" s="52"/>
      <c r="E22" s="52"/>
      <c r="F22" s="52"/>
      <c r="G22" s="52"/>
      <c r="H22" s="52"/>
      <c r="I22" s="52"/>
      <c r="J22" s="52"/>
      <c r="K22" s="52"/>
      <c r="L22" s="52"/>
      <c r="M22" s="64"/>
      <c r="N22" s="150"/>
      <c r="O22" s="52"/>
      <c r="P22" s="146"/>
    </row>
    <row r="23" spans="1:18" ht="12.75" customHeight="1" x14ac:dyDescent="0.2">
      <c r="A23" s="271" t="str">
        <f>'[2]B3-FinPerf V'!A24</f>
        <v>Expenditure by Vote</v>
      </c>
      <c r="B23" s="73"/>
      <c r="C23" s="52"/>
      <c r="D23" s="52"/>
      <c r="E23" s="52"/>
      <c r="F23" s="52"/>
      <c r="G23" s="52"/>
      <c r="H23" s="52"/>
      <c r="I23" s="52"/>
      <c r="J23" s="52"/>
      <c r="K23" s="52"/>
      <c r="L23" s="52"/>
      <c r="M23" s="64"/>
      <c r="N23" s="150"/>
      <c r="O23" s="52"/>
      <c r="P23" s="146"/>
    </row>
    <row r="24" spans="1:18" ht="12.75" customHeight="1" x14ac:dyDescent="0.2">
      <c r="A24" s="269" t="str">
        <f>'[2]B3-FinPerf V'!A25</f>
        <v>Vote 1 - Executive &amp; Council</v>
      </c>
      <c r="B24" s="54"/>
      <c r="C24" s="54">
        <v>3086200</v>
      </c>
      <c r="D24" s="54">
        <v>4700946</v>
      </c>
      <c r="E24" s="54">
        <v>4184278</v>
      </c>
      <c r="F24" s="54">
        <v>3894000</v>
      </c>
      <c r="G24" s="54">
        <v>4521000</v>
      </c>
      <c r="H24" s="54">
        <v>7928117</v>
      </c>
      <c r="I24" s="54">
        <v>4521000</v>
      </c>
      <c r="J24" s="54">
        <v>4184278</v>
      </c>
      <c r="K24" s="54">
        <v>5521000</v>
      </c>
      <c r="L24" s="54">
        <v>4184278</v>
      </c>
      <c r="M24" s="64">
        <v>3894000</v>
      </c>
      <c r="N24" s="150">
        <f t="shared" ref="N24:N38" si="3">P24-SUM(C24:M24)</f>
        <v>8895388.8900000006</v>
      </c>
      <c r="O24" s="52">
        <f t="shared" ref="O24:O38" si="4">SUM(C24:N24)</f>
        <v>59514485.890000001</v>
      </c>
      <c r="P24" s="146">
        <f>'[2]B3-FinPerf V'!K25</f>
        <v>59514485.890000001</v>
      </c>
      <c r="Q24" s="46">
        <f>'[2]B3-FinPerf V'!L25</f>
        <v>57809855.583521083</v>
      </c>
      <c r="R24" s="46">
        <f>'[2]B3-FinPerf V'!M25</f>
        <v>61061787.877573863</v>
      </c>
    </row>
    <row r="25" spans="1:18" ht="12.75" customHeight="1" x14ac:dyDescent="0.2">
      <c r="A25" s="269" t="str">
        <f>'[2]B3-FinPerf V'!A26</f>
        <v>Vote 2 - Finance and Administration</v>
      </c>
      <c r="B25" s="54"/>
      <c r="C25" s="54">
        <v>9049744</v>
      </c>
      <c r="D25" s="54">
        <v>9849994</v>
      </c>
      <c r="E25" s="54">
        <v>8660005</v>
      </c>
      <c r="F25" s="54">
        <v>9023525</v>
      </c>
      <c r="G25" s="54">
        <v>8660005</v>
      </c>
      <c r="H25" s="54">
        <v>14962859</v>
      </c>
      <c r="I25" s="54">
        <v>6707169</v>
      </c>
      <c r="J25" s="54">
        <v>5412000</v>
      </c>
      <c r="K25" s="54">
        <v>6061800</v>
      </c>
      <c r="L25" s="54">
        <v>5874000</v>
      </c>
      <c r="M25" s="64">
        <v>5251000</v>
      </c>
      <c r="N25" s="150">
        <f t="shared" si="3"/>
        <v>15042126.879999995</v>
      </c>
      <c r="O25" s="52">
        <f t="shared" si="4"/>
        <v>104554227.88</v>
      </c>
      <c r="P25" s="146">
        <f>'[2]B3-FinPerf V'!K26</f>
        <v>104554227.88</v>
      </c>
      <c r="Q25" s="46">
        <f>'[2]B3-FinPerf V'!L26</f>
        <v>102921450.08340442</v>
      </c>
      <c r="R25" s="46">
        <f>'[2]B3-FinPerf V'!M26</f>
        <v>108999378.89464387</v>
      </c>
    </row>
    <row r="26" spans="1:18" ht="12.75" customHeight="1" x14ac:dyDescent="0.2">
      <c r="A26" s="269" t="str">
        <f>'[2]B3-FinPerf V'!A27</f>
        <v>Vote 3 - Internal Audit</v>
      </c>
      <c r="B26" s="54"/>
      <c r="C26" s="54">
        <v>124453</v>
      </c>
      <c r="D26" s="54">
        <v>129634</v>
      </c>
      <c r="E26" s="54">
        <v>220075</v>
      </c>
      <c r="F26" s="54">
        <v>298457</v>
      </c>
      <c r="G26" s="54">
        <v>251556</v>
      </c>
      <c r="H26" s="54">
        <v>186475</v>
      </c>
      <c r="I26" s="54">
        <v>245531</v>
      </c>
      <c r="J26" s="54">
        <v>330111</v>
      </c>
      <c r="K26" s="54">
        <v>198554</v>
      </c>
      <c r="L26" s="54">
        <v>201587</v>
      </c>
      <c r="M26" s="64">
        <v>177532</v>
      </c>
      <c r="N26" s="150">
        <f t="shared" si="3"/>
        <v>262766</v>
      </c>
      <c r="O26" s="52">
        <f t="shared" si="4"/>
        <v>2626731</v>
      </c>
      <c r="P26" s="146">
        <f>'[2]B3-FinPerf V'!K27</f>
        <v>2626731</v>
      </c>
      <c r="Q26" s="46">
        <f>'[2]B3-FinPerf V'!L27</f>
        <v>2792493.1093887901</v>
      </c>
      <c r="R26" s="46">
        <f>'[2]B3-FinPerf V'!M27</f>
        <v>2968857.2825553967</v>
      </c>
    </row>
    <row r="27" spans="1:18" ht="12.75" customHeight="1" x14ac:dyDescent="0.2">
      <c r="A27" s="269" t="str">
        <f>'[2]B3-FinPerf V'!A28</f>
        <v>Vote 4 - Community and Public Safety</v>
      </c>
      <c r="B27" s="54"/>
      <c r="C27" s="54">
        <v>564207</v>
      </c>
      <c r="D27" s="54">
        <v>661867</v>
      </c>
      <c r="E27" s="54">
        <v>2130344</v>
      </c>
      <c r="F27" s="54">
        <v>985347</v>
      </c>
      <c r="G27" s="54">
        <v>754788</v>
      </c>
      <c r="H27" s="54">
        <v>586354</v>
      </c>
      <c r="I27" s="54">
        <v>435412</v>
      </c>
      <c r="J27" s="54">
        <v>564207</v>
      </c>
      <c r="K27" s="54">
        <v>661867</v>
      </c>
      <c r="L27" s="54">
        <v>450321</v>
      </c>
      <c r="M27" s="64">
        <v>531247</v>
      </c>
      <c r="N27" s="150">
        <f t="shared" si="3"/>
        <v>956258.3200000003</v>
      </c>
      <c r="O27" s="52">
        <f t="shared" si="4"/>
        <v>9282219.3200000003</v>
      </c>
      <c r="P27" s="146">
        <f>'[2]B3-FinPerf V'!K28</f>
        <v>9282219.3200000003</v>
      </c>
      <c r="Q27" s="46">
        <f>'[2]B3-FinPerf V'!L28</f>
        <v>6685613.7979259361</v>
      </c>
      <c r="R27" s="46">
        <f>'[2]B3-FinPerf V'!M28</f>
        <v>7330516.3680212004</v>
      </c>
    </row>
    <row r="28" spans="1:18" ht="12.75" customHeight="1" x14ac:dyDescent="0.2">
      <c r="A28" s="269" t="str">
        <f>'[2]B3-FinPerf V'!A29</f>
        <v>Vote 5 - Sports and Recreation</v>
      </c>
      <c r="B28" s="54"/>
      <c r="C28" s="54">
        <v>1070563</v>
      </c>
      <c r="D28" s="54">
        <v>2802555</v>
      </c>
      <c r="E28" s="54">
        <v>-708516</v>
      </c>
      <c r="F28" s="54">
        <v>2093687</v>
      </c>
      <c r="G28" s="54">
        <v>1579564</v>
      </c>
      <c r="H28" s="54">
        <v>1267522</v>
      </c>
      <c r="I28" s="54">
        <v>1032542</v>
      </c>
      <c r="J28" s="54">
        <v>1340657</v>
      </c>
      <c r="K28" s="54">
        <v>1070563</v>
      </c>
      <c r="L28" s="54">
        <v>1032542</v>
      </c>
      <c r="M28" s="64">
        <v>1032542</v>
      </c>
      <c r="N28" s="150">
        <f t="shared" si="3"/>
        <v>-226455.78999999911</v>
      </c>
      <c r="O28" s="52">
        <f t="shared" si="4"/>
        <v>13387765.210000001</v>
      </c>
      <c r="P28" s="146">
        <f>'[2]B3-FinPerf V'!K29</f>
        <v>13387765.210000001</v>
      </c>
      <c r="Q28" s="46">
        <f>'[2]B3-FinPerf V'!L29</f>
        <v>15786854.986601755</v>
      </c>
      <c r="R28" s="46">
        <f>'[2]B3-FinPerf V'!M29</f>
        <v>16828265.220500633</v>
      </c>
    </row>
    <row r="29" spans="1:18" ht="9.6" customHeight="1" x14ac:dyDescent="0.2">
      <c r="A29" s="269" t="str">
        <f>'[2]B3-FinPerf V'!A30</f>
        <v>Vote 6 - Housing</v>
      </c>
      <c r="B29" s="54"/>
      <c r="C29" s="54">
        <v>69299</v>
      </c>
      <c r="D29" s="54">
        <v>63587</v>
      </c>
      <c r="E29" s="54">
        <v>63543</v>
      </c>
      <c r="F29" s="54">
        <v>63543</v>
      </c>
      <c r="G29" s="54">
        <v>64543</v>
      </c>
      <c r="H29" s="54">
        <v>65543</v>
      </c>
      <c r="I29" s="54">
        <v>66543</v>
      </c>
      <c r="J29" s="54">
        <v>63543</v>
      </c>
      <c r="K29" s="54">
        <v>62543</v>
      </c>
      <c r="L29" s="54">
        <v>65543</v>
      </c>
      <c r="M29" s="64">
        <v>64543</v>
      </c>
      <c r="N29" s="150">
        <f t="shared" si="3"/>
        <v>162511.18999999994</v>
      </c>
      <c r="O29" s="52">
        <f t="shared" si="4"/>
        <v>875284.19</v>
      </c>
      <c r="P29" s="146">
        <f>'[2]B3-FinPerf V'!K30</f>
        <v>875284.19</v>
      </c>
      <c r="Q29" s="46">
        <f>'[2]B3-FinPerf V'!L30</f>
        <v>830087.27268588985</v>
      </c>
      <c r="R29" s="46">
        <f>'[2]B3-FinPerf V'!M30</f>
        <v>887047.95299876144</v>
      </c>
    </row>
    <row r="30" spans="1:18" ht="12.75" customHeight="1" x14ac:dyDescent="0.2">
      <c r="A30" s="269" t="str">
        <f>'[2]B3-FinPerf V'!A31</f>
        <v xml:space="preserve">Vote 7 - Planning and development </v>
      </c>
      <c r="B30" s="54"/>
      <c r="C30" s="54">
        <v>768756</v>
      </c>
      <c r="D30" s="54">
        <v>2253125</v>
      </c>
      <c r="E30" s="54">
        <v>2212197</v>
      </c>
      <c r="F30" s="54">
        <v>1345140</v>
      </c>
      <c r="G30" s="54">
        <v>1837958</v>
      </c>
      <c r="H30" s="54">
        <v>2534219</v>
      </c>
      <c r="I30" s="54">
        <v>1365245</v>
      </c>
      <c r="J30" s="54">
        <v>1501756</v>
      </c>
      <c r="K30" s="54">
        <v>1123547</v>
      </c>
      <c r="L30" s="54">
        <v>1005685</v>
      </c>
      <c r="M30" s="64">
        <v>845324</v>
      </c>
      <c r="N30" s="150">
        <f t="shared" si="3"/>
        <v>1061139.5799999982</v>
      </c>
      <c r="O30" s="52">
        <f t="shared" si="4"/>
        <v>17854091.579999998</v>
      </c>
      <c r="P30" s="146">
        <f>'[2]B3-FinPerf V'!K31</f>
        <v>17854091.579999998</v>
      </c>
      <c r="Q30" s="46">
        <f>'[2]B3-FinPerf V'!L31</f>
        <v>16226547.840510551</v>
      </c>
      <c r="R30" s="46">
        <f>'[2]B3-FinPerf V'!M31</f>
        <v>17220675.417043187</v>
      </c>
    </row>
    <row r="31" spans="1:18" ht="12.75" customHeight="1" x14ac:dyDescent="0.2">
      <c r="A31" s="269" t="str">
        <f>'[2]B3-FinPerf V'!A32</f>
        <v>Vote 8 - Road Transport</v>
      </c>
      <c r="B31" s="54"/>
      <c r="C31" s="54">
        <v>6126303</v>
      </c>
      <c r="D31" s="54">
        <v>3806883</v>
      </c>
      <c r="E31" s="54">
        <v>3806883</v>
      </c>
      <c r="F31" s="54">
        <v>4576954</v>
      </c>
      <c r="G31" s="54">
        <v>5765234</v>
      </c>
      <c r="H31" s="54">
        <v>5214538</v>
      </c>
      <c r="I31" s="54">
        <v>3806883</v>
      </c>
      <c r="J31" s="54">
        <v>4176954</v>
      </c>
      <c r="K31" s="54">
        <v>3368752</v>
      </c>
      <c r="L31" s="54">
        <v>5023148</v>
      </c>
      <c r="M31" s="64">
        <v>3426850</v>
      </c>
      <c r="N31" s="150">
        <f t="shared" si="3"/>
        <v>1784980.6199999973</v>
      </c>
      <c r="O31" s="52">
        <f t="shared" si="4"/>
        <v>50884362.619999997</v>
      </c>
      <c r="P31" s="146">
        <f>'[2]B3-FinPerf V'!K32</f>
        <v>50884362.619999997</v>
      </c>
      <c r="Q31" s="46">
        <f>'[2]B3-FinPerf V'!L32</f>
        <v>46626233.523637146</v>
      </c>
      <c r="R31" s="46">
        <f>'[2]B3-FinPerf V'!M32</f>
        <v>49519766.218250521</v>
      </c>
    </row>
    <row r="32" spans="1:18" ht="12.75" customHeight="1" x14ac:dyDescent="0.2">
      <c r="A32" s="269" t="str">
        <f>'[2]B3-FinPerf V'!A33</f>
        <v>Vote 9 - Energy Sources</v>
      </c>
      <c r="B32" s="54"/>
      <c r="C32" s="54">
        <v>2814340</v>
      </c>
      <c r="D32" s="54">
        <v>2910365</v>
      </c>
      <c r="E32" s="54">
        <v>2910365</v>
      </c>
      <c r="F32" s="54">
        <v>4110365</v>
      </c>
      <c r="G32" s="54">
        <v>4410365</v>
      </c>
      <c r="H32" s="54">
        <v>5310365</v>
      </c>
      <c r="I32" s="54">
        <v>4410365</v>
      </c>
      <c r="J32" s="54">
        <v>3510365</v>
      </c>
      <c r="K32" s="54">
        <v>3990365</v>
      </c>
      <c r="L32" s="54">
        <v>4110365</v>
      </c>
      <c r="M32" s="64">
        <v>4710365</v>
      </c>
      <c r="N32" s="150">
        <f t="shared" si="3"/>
        <v>-1168644.2699999958</v>
      </c>
      <c r="O32" s="52">
        <f t="shared" si="4"/>
        <v>42029345.730000004</v>
      </c>
      <c r="P32" s="146">
        <f>'[2]B3-FinPerf V'!K33</f>
        <v>42029345.730000004</v>
      </c>
      <c r="Q32" s="46">
        <f>'[2]B3-FinPerf V'!L33</f>
        <v>40832093.910386637</v>
      </c>
      <c r="R32" s="46">
        <f>'[2]B3-FinPerf V'!M33</f>
        <v>43108554.260668471</v>
      </c>
    </row>
    <row r="33" spans="1:18" ht="12.75" customHeight="1" x14ac:dyDescent="0.2">
      <c r="A33" s="269" t="str">
        <f>'[2]B3-FinPerf V'!A34</f>
        <v>Vote 10 - Waste Water Management</v>
      </c>
      <c r="B33" s="54"/>
      <c r="C33" s="54">
        <v>52630</v>
      </c>
      <c r="D33" s="54">
        <v>54102</v>
      </c>
      <c r="E33" s="54">
        <v>54102</v>
      </c>
      <c r="F33" s="54">
        <v>59102</v>
      </c>
      <c r="G33" s="54">
        <v>61102</v>
      </c>
      <c r="H33" s="54">
        <v>88102</v>
      </c>
      <c r="I33" s="54">
        <v>59102</v>
      </c>
      <c r="J33" s="54">
        <v>63102</v>
      </c>
      <c r="K33" s="54">
        <v>71102</v>
      </c>
      <c r="L33" s="54">
        <v>68102</v>
      </c>
      <c r="M33" s="64">
        <v>61102</v>
      </c>
      <c r="N33" s="150">
        <f t="shared" si="3"/>
        <v>19402.020000000019</v>
      </c>
      <c r="O33" s="52">
        <f t="shared" si="4"/>
        <v>711052.02</v>
      </c>
      <c r="P33" s="146">
        <f>'[2]B3-FinPerf V'!K34</f>
        <v>711052.02</v>
      </c>
      <c r="Q33" s="46">
        <f>'[2]B3-FinPerf V'!L34</f>
        <v>802836.49385348998</v>
      </c>
      <c r="R33" s="46">
        <f>'[2]B3-FinPerf V'!M34</f>
        <v>857568.71192217781</v>
      </c>
    </row>
    <row r="34" spans="1:18" ht="30.6" x14ac:dyDescent="0.2">
      <c r="A34" s="269" t="str">
        <f>'[2]B3-FinPerf V'!A35</f>
        <v>Vote 11 - Waste Management</v>
      </c>
      <c r="B34" s="54"/>
      <c r="C34" s="54">
        <v>300173</v>
      </c>
      <c r="D34" s="54">
        <v>123169</v>
      </c>
      <c r="E34" s="54">
        <v>123169</v>
      </c>
      <c r="F34" s="54">
        <v>325575</v>
      </c>
      <c r="G34" s="54">
        <v>339485</v>
      </c>
      <c r="H34" s="54">
        <v>454724</v>
      </c>
      <c r="I34" s="54">
        <v>345256</v>
      </c>
      <c r="J34" s="54">
        <v>576854</v>
      </c>
      <c r="K34" s="54">
        <v>745962</v>
      </c>
      <c r="L34" s="54">
        <v>832415</v>
      </c>
      <c r="M34" s="64">
        <v>652475</v>
      </c>
      <c r="N34" s="150">
        <f t="shared" si="3"/>
        <v>2597364.5300000003</v>
      </c>
      <c r="O34" s="52">
        <f t="shared" si="4"/>
        <v>7416621.5300000003</v>
      </c>
      <c r="P34" s="146">
        <f>'[2]B3-FinPerf V'!K35</f>
        <v>7416621.5300000003</v>
      </c>
      <c r="Q34" s="46">
        <f>'[2]B3-FinPerf V'!L35</f>
        <v>5839885.3272463884</v>
      </c>
      <c r="R34" s="46">
        <f>'[2]B3-FinPerf V'!M35</f>
        <v>6190587.3803468943</v>
      </c>
    </row>
    <row r="35" spans="1:18" ht="30.6" x14ac:dyDescent="0.2">
      <c r="A35" s="190" t="str">
        <f>'[2]B3-FinPerf V'!A36</f>
        <v>Vote 12 - [NAME OF VOTE 12]</v>
      </c>
      <c r="B35" s="57"/>
      <c r="C35" s="58"/>
      <c r="D35" s="58"/>
      <c r="E35" s="58"/>
      <c r="F35" s="58"/>
      <c r="G35" s="58"/>
      <c r="H35" s="58"/>
      <c r="I35" s="58"/>
      <c r="J35" s="58"/>
      <c r="K35" s="58"/>
      <c r="L35" s="58"/>
      <c r="M35" s="59"/>
      <c r="N35" s="148">
        <f t="shared" si="3"/>
        <v>0</v>
      </c>
      <c r="O35" s="58">
        <f t="shared" si="4"/>
        <v>0</v>
      </c>
      <c r="P35" s="149">
        <f>'[2]B3-FinPerf V'!K36</f>
        <v>0</v>
      </c>
      <c r="Q35" s="46">
        <f>'[2]B3-FinPerf V'!L36</f>
        <v>0</v>
      </c>
      <c r="R35" s="46">
        <f>'[2]B3-FinPerf V'!M36</f>
        <v>0</v>
      </c>
    </row>
    <row r="36" spans="1:18" ht="30.6" x14ac:dyDescent="0.2">
      <c r="A36" s="270" t="str">
        <f>'[2]B3-FinPerf V'!A37</f>
        <v>Vote 13 - [NAME OF VOTE 13]</v>
      </c>
      <c r="B36" s="73"/>
      <c r="C36" s="52"/>
      <c r="D36" s="52"/>
      <c r="E36" s="52"/>
      <c r="F36" s="52"/>
      <c r="G36" s="52"/>
      <c r="H36" s="52"/>
      <c r="I36" s="52"/>
      <c r="J36" s="52"/>
      <c r="K36" s="52"/>
      <c r="L36" s="52"/>
      <c r="M36" s="64"/>
      <c r="N36" s="150">
        <f t="shared" si="3"/>
        <v>0</v>
      </c>
      <c r="O36" s="52">
        <f t="shared" si="4"/>
        <v>0</v>
      </c>
      <c r="P36" s="146">
        <f>'[2]B3-FinPerf V'!K37</f>
        <v>0</v>
      </c>
      <c r="Q36" s="46">
        <f>'[2]B3-FinPerf V'!L37</f>
        <v>0</v>
      </c>
      <c r="R36" s="46">
        <f>'[2]B3-FinPerf V'!M37</f>
        <v>0</v>
      </c>
    </row>
    <row r="37" spans="1:18" ht="30.6" x14ac:dyDescent="0.2">
      <c r="A37" s="272" t="str">
        <f>'[2]B3-FinPerf V'!A38</f>
        <v>Vote 14 - [NAME OF VOTE 14]</v>
      </c>
      <c r="B37" s="57"/>
      <c r="C37" s="58"/>
      <c r="D37" s="58"/>
      <c r="E37" s="58"/>
      <c r="F37" s="58"/>
      <c r="G37" s="58"/>
      <c r="H37" s="58"/>
      <c r="I37" s="58"/>
      <c r="J37" s="58"/>
      <c r="K37" s="58"/>
      <c r="L37" s="58"/>
      <c r="M37" s="59"/>
      <c r="N37" s="148">
        <f t="shared" si="3"/>
        <v>0</v>
      </c>
      <c r="O37" s="58">
        <f t="shared" si="4"/>
        <v>0</v>
      </c>
      <c r="P37" s="149">
        <f>'[2]B3-FinPerf V'!K38</f>
        <v>0</v>
      </c>
      <c r="Q37" s="46">
        <f>'[2]B3-FinPerf V'!L38</f>
        <v>0</v>
      </c>
      <c r="R37" s="46">
        <f>'[2]B3-FinPerf V'!M38</f>
        <v>0</v>
      </c>
    </row>
    <row r="38" spans="1:18" ht="30.6" x14ac:dyDescent="0.2">
      <c r="A38" s="273" t="str">
        <f>'[2]B3-FinPerf V'!A39</f>
        <v>Vote 15 - [NAME OF VOTE 15]</v>
      </c>
      <c r="B38" s="54"/>
      <c r="C38" s="54"/>
      <c r="D38" s="54"/>
      <c r="E38" s="54"/>
      <c r="F38" s="54"/>
      <c r="G38" s="54"/>
      <c r="H38" s="54"/>
      <c r="I38" s="54"/>
      <c r="J38" s="54"/>
      <c r="K38" s="54"/>
      <c r="L38" s="54"/>
      <c r="M38" s="64"/>
      <c r="N38" s="150">
        <f t="shared" si="3"/>
        <v>0</v>
      </c>
      <c r="O38" s="52">
        <f t="shared" si="4"/>
        <v>0</v>
      </c>
      <c r="P38" s="146">
        <f>'[2]B3-FinPerf V'!K39</f>
        <v>0</v>
      </c>
      <c r="Q38" s="46">
        <f>'[2]B3-FinPerf V'!L39</f>
        <v>0</v>
      </c>
      <c r="R38" s="46">
        <f>'[2]B3-FinPerf V'!M39</f>
        <v>0</v>
      </c>
    </row>
    <row r="39" spans="1:18" s="252" customFormat="1" ht="30.6" x14ac:dyDescent="0.3">
      <c r="A39" s="246" t="s">
        <v>390</v>
      </c>
      <c r="B39" s="247"/>
      <c r="C39" s="248">
        <f t="shared" ref="C39:R39" si="5">SUM(C24:C38)</f>
        <v>24026668</v>
      </c>
      <c r="D39" s="248">
        <f t="shared" si="5"/>
        <v>27356227</v>
      </c>
      <c r="E39" s="248">
        <f t="shared" si="5"/>
        <v>23656445</v>
      </c>
      <c r="F39" s="248">
        <f t="shared" si="5"/>
        <v>26775695</v>
      </c>
      <c r="G39" s="248">
        <f t="shared" si="5"/>
        <v>28245600</v>
      </c>
      <c r="H39" s="248">
        <f t="shared" si="5"/>
        <v>38598818</v>
      </c>
      <c r="I39" s="248">
        <f t="shared" si="5"/>
        <v>22995048</v>
      </c>
      <c r="J39" s="248">
        <f t="shared" si="5"/>
        <v>21723827</v>
      </c>
      <c r="K39" s="248">
        <f t="shared" si="5"/>
        <v>22876055</v>
      </c>
      <c r="L39" s="248">
        <f t="shared" si="5"/>
        <v>22847986</v>
      </c>
      <c r="M39" s="249">
        <f t="shared" si="5"/>
        <v>20646980</v>
      </c>
      <c r="N39" s="250">
        <f t="shared" si="5"/>
        <v>29386837.969999999</v>
      </c>
      <c r="O39" s="248">
        <f t="shared" si="5"/>
        <v>309136186.96999997</v>
      </c>
      <c r="P39" s="251">
        <f t="shared" si="5"/>
        <v>309136186.96999997</v>
      </c>
      <c r="Q39" s="252">
        <f t="shared" si="5"/>
        <v>297153951.92916209</v>
      </c>
      <c r="R39" s="252">
        <f t="shared" si="5"/>
        <v>314973005.58452499</v>
      </c>
    </row>
    <row r="40" spans="1:18" x14ac:dyDescent="0.2">
      <c r="A40" s="269"/>
      <c r="B40" s="54"/>
      <c r="C40" s="67"/>
      <c r="D40" s="67"/>
      <c r="E40" s="67"/>
      <c r="F40" s="67"/>
      <c r="G40" s="67"/>
      <c r="H40" s="67"/>
      <c r="I40" s="67"/>
      <c r="J40" s="67"/>
      <c r="K40" s="67"/>
      <c r="L40" s="67"/>
      <c r="M40" s="64"/>
      <c r="N40" s="150"/>
      <c r="O40" s="52"/>
      <c r="P40" s="146"/>
    </row>
    <row r="41" spans="1:18" ht="20.399999999999999" x14ac:dyDescent="0.2">
      <c r="A41" s="269" t="s">
        <v>916</v>
      </c>
      <c r="B41" s="54"/>
      <c r="C41" s="67">
        <f t="shared" ref="C41:R41" si="6">C21-C39</f>
        <v>98106603.170000002</v>
      </c>
      <c r="D41" s="67">
        <f t="shared" si="6"/>
        <v>-22874837</v>
      </c>
      <c r="E41" s="67">
        <f t="shared" si="6"/>
        <v>40432559</v>
      </c>
      <c r="F41" s="67">
        <f t="shared" si="6"/>
        <v>-20237424</v>
      </c>
      <c r="G41" s="67">
        <f t="shared" si="6"/>
        <v>-20842466</v>
      </c>
      <c r="H41" s="67">
        <f t="shared" si="6"/>
        <v>62664671</v>
      </c>
      <c r="I41" s="67">
        <f t="shared" si="6"/>
        <v>-17772297</v>
      </c>
      <c r="J41" s="67">
        <f t="shared" si="6"/>
        <v>-15617659</v>
      </c>
      <c r="K41" s="67">
        <f t="shared" si="6"/>
        <v>53953455</v>
      </c>
      <c r="L41" s="67">
        <f t="shared" si="6"/>
        <v>-17394333</v>
      </c>
      <c r="M41" s="64">
        <f t="shared" si="6"/>
        <v>-13561597</v>
      </c>
      <c r="N41" s="150">
        <f t="shared" si="6"/>
        <v>-10149164.797840029</v>
      </c>
      <c r="O41" s="52">
        <f t="shared" si="6"/>
        <v>110035457.37216002</v>
      </c>
      <c r="P41" s="146">
        <f t="shared" si="6"/>
        <v>116707510.37216002</v>
      </c>
      <c r="Q41" s="46">
        <f t="shared" si="6"/>
        <v>143493172.35144275</v>
      </c>
      <c r="R41" s="46">
        <f t="shared" si="6"/>
        <v>155956111.40723217</v>
      </c>
    </row>
    <row r="42" spans="1:18" x14ac:dyDescent="0.2">
      <c r="A42" s="274">
        <f>head27a</f>
        <v>0</v>
      </c>
      <c r="B42" s="253"/>
      <c r="C42" s="234"/>
      <c r="D42" s="234"/>
      <c r="E42" s="234"/>
      <c r="F42" s="234"/>
      <c r="G42" s="234"/>
      <c r="H42" s="234"/>
      <c r="I42" s="234"/>
      <c r="J42" s="234"/>
      <c r="K42" s="234"/>
      <c r="L42" s="234"/>
      <c r="M42" s="64"/>
      <c r="N42" s="150"/>
      <c r="O42" s="52"/>
      <c r="P42" s="146"/>
    </row>
    <row r="43" spans="1:18" ht="102" x14ac:dyDescent="0.2">
      <c r="A43" s="152" t="s">
        <v>917</v>
      </c>
      <c r="B43" s="153"/>
      <c r="C43" s="154"/>
      <c r="D43" s="154"/>
      <c r="E43" s="154"/>
      <c r="F43" s="154"/>
      <c r="G43" s="154"/>
      <c r="H43" s="154"/>
      <c r="I43" s="154"/>
      <c r="J43" s="154"/>
      <c r="K43" s="154"/>
      <c r="L43" s="154"/>
      <c r="M43" s="155"/>
      <c r="N43" s="153"/>
      <c r="O43" s="154"/>
      <c r="P43" s="157"/>
    </row>
    <row r="44" spans="1:18" s="159" customFormat="1" x14ac:dyDescent="0.2">
      <c r="A44" s="158"/>
      <c r="B44" s="63"/>
      <c r="C44" s="63"/>
      <c r="D44" s="63"/>
      <c r="E44" s="63"/>
      <c r="F44" s="63"/>
      <c r="G44" s="63"/>
      <c r="H44" s="63"/>
      <c r="I44" s="63"/>
      <c r="J44" s="63"/>
      <c r="K44" s="63"/>
      <c r="L44" s="63"/>
      <c r="M44" s="63"/>
      <c r="N44" s="63"/>
      <c r="O44" s="63"/>
      <c r="P44" s="63"/>
    </row>
    <row r="45" spans="1:18" s="159" customFormat="1" ht="13.95" customHeight="1" x14ac:dyDescent="0.2">
      <c r="A45" s="557"/>
      <c r="B45" s="557"/>
      <c r="C45" s="557"/>
      <c r="D45" s="557"/>
      <c r="E45" s="557"/>
      <c r="F45" s="557"/>
      <c r="G45" s="557"/>
      <c r="H45" s="557"/>
      <c r="I45" s="557"/>
      <c r="J45" s="557"/>
      <c r="K45" s="557"/>
      <c r="L45" s="557"/>
      <c r="M45" s="557"/>
      <c r="N45" s="557"/>
      <c r="O45" s="557"/>
      <c r="P45" s="557"/>
    </row>
    <row r="46" spans="1:18" x14ac:dyDescent="0.2">
      <c r="A46" s="275"/>
      <c r="N46" s="160"/>
      <c r="O46" s="160"/>
      <c r="P46" s="160"/>
    </row>
  </sheetData>
  <mergeCells count="4">
    <mergeCell ref="B2:M2"/>
    <mergeCell ref="A45:P45"/>
    <mergeCell ref="A1:N1"/>
    <mergeCell ref="P2:R2"/>
  </mergeCells>
  <pageMargins left="0.7" right="0.7" top="0.75" bottom="0.75" header="0.3" footer="0.3"/>
  <pageSetup paperSize="9"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3"/>
  <sheetViews>
    <sheetView view="pageBreakPreview" topLeftCell="A40" zoomScale="60" zoomScaleNormal="100" workbookViewId="0">
      <selection activeCell="AE27" sqref="AE27"/>
    </sheetView>
  </sheetViews>
  <sheetFormatPr defaultColWidth="9.109375" defaultRowHeight="10.199999999999999" x14ac:dyDescent="0.2"/>
  <cols>
    <col min="1" max="1" width="7" style="267" customWidth="1"/>
    <col min="2" max="2" width="7.6640625" style="46" customWidth="1"/>
    <col min="3" max="5" width="7.5546875" style="46" customWidth="1"/>
    <col min="6" max="6" width="6.88671875" style="46" customWidth="1"/>
    <col min="7" max="13" width="8.33203125" style="46" customWidth="1"/>
    <col min="14" max="16" width="9.33203125" style="46" customWidth="1"/>
    <col min="17" max="16384" width="9.109375" style="46"/>
  </cols>
  <sheetData>
    <row r="1" spans="1:18" ht="18" customHeight="1" x14ac:dyDescent="0.2">
      <c r="A1" s="559" t="e">
        <f>muni&amp;" - "&amp;ADJB13&amp;" - "&amp;Date</f>
        <v>#REF!</v>
      </c>
      <c r="B1" s="559"/>
      <c r="C1" s="559"/>
      <c r="D1" s="559"/>
      <c r="E1" s="559"/>
      <c r="F1" s="559"/>
      <c r="G1" s="559"/>
      <c r="H1" s="559"/>
      <c r="I1" s="559"/>
      <c r="J1" s="559"/>
      <c r="K1" s="559"/>
      <c r="L1" s="559"/>
      <c r="M1" s="559"/>
      <c r="N1" s="559"/>
      <c r="O1" s="559"/>
      <c r="P1" s="559"/>
    </row>
    <row r="2" spans="1:18" ht="20.399999999999999" customHeight="1" x14ac:dyDescent="0.2">
      <c r="A2" s="134" t="str">
        <f>desc&amp;" - Standard classification"</f>
        <v xml:space="preserve"> - Standard classification</v>
      </c>
      <c r="B2" s="555" t="s">
        <v>910</v>
      </c>
      <c r="C2" s="556"/>
      <c r="D2" s="556"/>
      <c r="E2" s="556"/>
      <c r="F2" s="556"/>
      <c r="G2" s="556"/>
      <c r="H2" s="556"/>
      <c r="I2" s="556"/>
      <c r="J2" s="556"/>
      <c r="K2" s="556"/>
      <c r="L2" s="556"/>
      <c r="M2" s="556"/>
      <c r="N2" s="432"/>
      <c r="O2" s="433"/>
      <c r="P2" s="551" t="s">
        <v>434</v>
      </c>
      <c r="Q2" s="551"/>
      <c r="R2" s="551"/>
    </row>
    <row r="3" spans="1:18" ht="20.399999999999999" x14ac:dyDescent="0.2">
      <c r="A3" s="135"/>
      <c r="B3" s="136"/>
      <c r="C3" s="137" t="s">
        <v>435</v>
      </c>
      <c r="D3" s="137" t="s">
        <v>436</v>
      </c>
      <c r="E3" s="137" t="s">
        <v>437</v>
      </c>
      <c r="F3" s="137" t="s">
        <v>438</v>
      </c>
      <c r="G3" s="137" t="s">
        <v>439</v>
      </c>
      <c r="H3" s="137" t="s">
        <v>440</v>
      </c>
      <c r="I3" s="137" t="s">
        <v>441</v>
      </c>
      <c r="J3" s="137" t="s">
        <v>442</v>
      </c>
      <c r="K3" s="137" t="s">
        <v>443</v>
      </c>
      <c r="L3" s="137" t="s">
        <v>444</v>
      </c>
      <c r="M3" s="138" t="s">
        <v>445</v>
      </c>
      <c r="N3" s="136" t="s">
        <v>446</v>
      </c>
      <c r="O3" s="139" t="s">
        <v>915</v>
      </c>
      <c r="P3" s="138" t="s">
        <v>910</v>
      </c>
      <c r="Q3" s="519" t="s">
        <v>908</v>
      </c>
      <c r="R3" s="519" t="s">
        <v>909</v>
      </c>
    </row>
    <row r="4" spans="1:18" ht="20.399999999999999" customHeight="1" x14ac:dyDescent="0.2">
      <c r="A4" s="271" t="s">
        <v>872</v>
      </c>
      <c r="B4" s="140"/>
      <c r="C4" s="141">
        <f t="shared" ref="C4:H4" si="0">Head5A</f>
        <v>0</v>
      </c>
      <c r="D4" s="141">
        <f t="shared" si="0"/>
        <v>0</v>
      </c>
      <c r="E4" s="141">
        <f t="shared" si="0"/>
        <v>0</v>
      </c>
      <c r="F4" s="141">
        <f t="shared" si="0"/>
        <v>0</v>
      </c>
      <c r="G4" s="141">
        <f t="shared" si="0"/>
        <v>0</v>
      </c>
      <c r="H4" s="141">
        <f t="shared" si="0"/>
        <v>0</v>
      </c>
      <c r="I4" s="141">
        <f t="shared" ref="I4:N4" si="1">Head7</f>
        <v>0</v>
      </c>
      <c r="J4" s="141">
        <f t="shared" si="1"/>
        <v>0</v>
      </c>
      <c r="K4" s="141">
        <f t="shared" si="1"/>
        <v>0</v>
      </c>
      <c r="L4" s="141">
        <f t="shared" si="1"/>
        <v>0</v>
      </c>
      <c r="M4" s="142">
        <f t="shared" si="1"/>
        <v>0</v>
      </c>
      <c r="N4" s="143">
        <f t="shared" si="1"/>
        <v>0</v>
      </c>
      <c r="O4" s="141"/>
      <c r="P4" s="527" t="s">
        <v>804</v>
      </c>
      <c r="Q4" s="519" t="s">
        <v>804</v>
      </c>
      <c r="R4" s="519" t="s">
        <v>804</v>
      </c>
    </row>
    <row r="5" spans="1:18" ht="12.75" customHeight="1" x14ac:dyDescent="0.2">
      <c r="A5" s="276" t="s">
        <v>920</v>
      </c>
      <c r="B5" s="145"/>
      <c r="C5" s="67"/>
      <c r="D5" s="67"/>
      <c r="E5" s="67"/>
      <c r="F5" s="67"/>
      <c r="G5" s="67"/>
      <c r="H5" s="67"/>
      <c r="I5" s="67"/>
      <c r="J5" s="67"/>
      <c r="K5" s="67"/>
      <c r="L5" s="67"/>
      <c r="M5" s="64"/>
      <c r="N5" s="73"/>
      <c r="O5" s="52"/>
      <c r="P5" s="146"/>
    </row>
    <row r="6" spans="1:18" ht="12.75" customHeight="1" x14ac:dyDescent="0.2">
      <c r="A6" s="276" t="str">
        <f>'[2]B2-FinPerf SC'!A7</f>
        <v>Governance and administration</v>
      </c>
      <c r="B6" s="145"/>
      <c r="C6" s="145">
        <f t="shared" ref="C6:M6" si="2">SUM(C7:C9)</f>
        <v>118806766</v>
      </c>
      <c r="D6" s="145">
        <f t="shared" si="2"/>
        <v>2770670</v>
      </c>
      <c r="E6" s="145">
        <f t="shared" si="2"/>
        <v>61647069</v>
      </c>
      <c r="F6" s="145">
        <f t="shared" si="2"/>
        <v>2365755</v>
      </c>
      <c r="G6" s="145">
        <f t="shared" si="2"/>
        <v>3587124</v>
      </c>
      <c r="H6" s="145">
        <f t="shared" si="2"/>
        <v>97365854</v>
      </c>
      <c r="I6" s="145">
        <f t="shared" si="2"/>
        <v>1365756</v>
      </c>
      <c r="J6" s="145">
        <f t="shared" si="2"/>
        <v>2576524</v>
      </c>
      <c r="K6" s="145">
        <f t="shared" si="2"/>
        <v>72321457</v>
      </c>
      <c r="L6" s="145">
        <f t="shared" si="2"/>
        <v>1357654</v>
      </c>
      <c r="M6" s="64">
        <f t="shared" si="2"/>
        <v>3195752</v>
      </c>
      <c r="N6" s="73">
        <f t="shared" ref="N6:N25" si="3">P6-SUM(C6:M6)</f>
        <v>7556135.3151999712</v>
      </c>
      <c r="O6" s="90">
        <f t="shared" ref="O6:O25" si="4">SUM(C6:N6)</f>
        <v>374916516.31519997</v>
      </c>
      <c r="P6" s="147">
        <f>'[2]B2-FinPerf SC'!K7</f>
        <v>374916516.31519997</v>
      </c>
      <c r="Q6" s="46">
        <f>'[2]B2-FinPerf SC'!L7</f>
        <v>392840929.79578203</v>
      </c>
      <c r="R6" s="46">
        <f>'[2]B2-FinPerf SC'!M7</f>
        <v>420919388.00475401</v>
      </c>
    </row>
    <row r="7" spans="1:18" ht="12.75" customHeight="1" x14ac:dyDescent="0.2">
      <c r="A7" s="276" t="str">
        <f>'[2]B2-FinPerf SC'!A8</f>
        <v>Executive and council</v>
      </c>
      <c r="B7" s="145"/>
      <c r="C7" s="145"/>
      <c r="D7" s="145"/>
      <c r="E7" s="145"/>
      <c r="F7" s="145"/>
      <c r="G7" s="145"/>
      <c r="H7" s="145"/>
      <c r="I7" s="145"/>
      <c r="J7" s="145"/>
      <c r="K7" s="145"/>
      <c r="L7" s="145"/>
      <c r="M7" s="64"/>
      <c r="N7" s="73">
        <f t="shared" si="3"/>
        <v>0</v>
      </c>
      <c r="O7" s="90">
        <f t="shared" si="4"/>
        <v>0</v>
      </c>
      <c r="P7" s="147">
        <f>'[2]B2-FinPerf SC'!K8</f>
        <v>0</v>
      </c>
      <c r="Q7" s="46">
        <f>'[2]B2-FinPerf SC'!L8</f>
        <v>0</v>
      </c>
      <c r="R7" s="46">
        <f>'[2]B2-FinPerf SC'!M8</f>
        <v>0</v>
      </c>
    </row>
    <row r="8" spans="1:18" ht="12.75" customHeight="1" x14ac:dyDescent="0.2">
      <c r="A8" s="276" t="str">
        <f>'[2]B2-FinPerf SC'!A9</f>
        <v>Finance and administration</v>
      </c>
      <c r="B8" s="145"/>
      <c r="C8" s="145">
        <v>118806766</v>
      </c>
      <c r="D8" s="145">
        <v>2770670</v>
      </c>
      <c r="E8" s="145">
        <v>61647069</v>
      </c>
      <c r="F8" s="145">
        <v>2365755</v>
      </c>
      <c r="G8" s="145">
        <v>3587124</v>
      </c>
      <c r="H8" s="145">
        <v>97365854</v>
      </c>
      <c r="I8" s="145">
        <v>1365756</v>
      </c>
      <c r="J8" s="145">
        <v>2576524</v>
      </c>
      <c r="K8" s="145">
        <v>72321457</v>
      </c>
      <c r="L8" s="145">
        <v>1357654</v>
      </c>
      <c r="M8" s="64">
        <v>3195752</v>
      </c>
      <c r="N8" s="73">
        <f t="shared" si="3"/>
        <v>7556135.3151999712</v>
      </c>
      <c r="O8" s="90">
        <f t="shared" si="4"/>
        <v>374916516.31519997</v>
      </c>
      <c r="P8" s="147">
        <f>'[2]B2-FinPerf SC'!K9</f>
        <v>374916516.31519997</v>
      </c>
      <c r="Q8" s="46">
        <f>'[2]B2-FinPerf SC'!L9</f>
        <v>392840929.79578203</v>
      </c>
      <c r="R8" s="46">
        <f>'[2]B2-FinPerf SC'!M9</f>
        <v>420919388.00475401</v>
      </c>
    </row>
    <row r="9" spans="1:18" ht="12.75" customHeight="1" x14ac:dyDescent="0.2">
      <c r="A9" s="276" t="str">
        <f>'[2]B2-FinPerf SC'!A10</f>
        <v>Internal audit</v>
      </c>
      <c r="B9" s="145"/>
      <c r="C9" s="145"/>
      <c r="D9" s="145"/>
      <c r="E9" s="145"/>
      <c r="F9" s="145"/>
      <c r="G9" s="145"/>
      <c r="H9" s="145"/>
      <c r="I9" s="145"/>
      <c r="J9" s="145"/>
      <c r="K9" s="145"/>
      <c r="L9" s="145"/>
      <c r="M9" s="64"/>
      <c r="N9" s="73">
        <f t="shared" si="3"/>
        <v>0</v>
      </c>
      <c r="O9" s="90">
        <f t="shared" si="4"/>
        <v>0</v>
      </c>
      <c r="P9" s="147">
        <f>'[2]B2-FinPerf SC'!K10</f>
        <v>0</v>
      </c>
      <c r="Q9" s="46">
        <f>'[2]B2-FinPerf SC'!L10</f>
        <v>0</v>
      </c>
      <c r="R9" s="46">
        <f>'[2]B2-FinPerf SC'!M10</f>
        <v>0</v>
      </c>
    </row>
    <row r="10" spans="1:18" ht="12.75" customHeight="1" x14ac:dyDescent="0.2">
      <c r="A10" s="276" t="str">
        <f>'[2]B2-FinPerf SC'!A11</f>
        <v>Community and public safety</v>
      </c>
      <c r="B10" s="145"/>
      <c r="C10" s="145">
        <f t="shared" ref="C10:M10" si="5">SUM(C11:C15)</f>
        <v>0</v>
      </c>
      <c r="D10" s="145">
        <f t="shared" si="5"/>
        <v>0</v>
      </c>
      <c r="E10" s="145">
        <f t="shared" si="5"/>
        <v>0</v>
      </c>
      <c r="F10" s="145">
        <f t="shared" si="5"/>
        <v>0</v>
      </c>
      <c r="G10" s="145">
        <f t="shared" si="5"/>
        <v>0</v>
      </c>
      <c r="H10" s="145">
        <f t="shared" si="5"/>
        <v>0</v>
      </c>
      <c r="I10" s="145">
        <f t="shared" si="5"/>
        <v>0</v>
      </c>
      <c r="J10" s="145">
        <f t="shared" si="5"/>
        <v>0</v>
      </c>
      <c r="K10" s="145">
        <f t="shared" si="5"/>
        <v>0</v>
      </c>
      <c r="L10" s="145">
        <f t="shared" si="5"/>
        <v>0</v>
      </c>
      <c r="M10" s="64">
        <f t="shared" si="5"/>
        <v>0</v>
      </c>
      <c r="N10" s="73">
        <f t="shared" si="3"/>
        <v>0</v>
      </c>
      <c r="O10" s="90">
        <f t="shared" si="4"/>
        <v>0</v>
      </c>
      <c r="P10" s="147">
        <f>'[2]B2-FinPerf SC'!K11</f>
        <v>0</v>
      </c>
      <c r="Q10" s="46">
        <f>'[2]B2-FinPerf SC'!L11</f>
        <v>0</v>
      </c>
      <c r="R10" s="46">
        <f>'[2]B2-FinPerf SC'!M11</f>
        <v>0</v>
      </c>
    </row>
    <row r="11" spans="1:18" ht="12.75" customHeight="1" x14ac:dyDescent="0.2">
      <c r="A11" s="276" t="str">
        <f>'[2]B2-FinPerf SC'!A12</f>
        <v>Community and social services</v>
      </c>
      <c r="B11" s="145"/>
      <c r="C11" s="145"/>
      <c r="D11" s="145"/>
      <c r="E11" s="145"/>
      <c r="F11" s="145"/>
      <c r="G11" s="145"/>
      <c r="H11" s="145"/>
      <c r="I11" s="145"/>
      <c r="J11" s="145"/>
      <c r="K11" s="145"/>
      <c r="L11" s="145"/>
      <c r="M11" s="64"/>
      <c r="N11" s="73">
        <f t="shared" si="3"/>
        <v>0</v>
      </c>
      <c r="O11" s="90">
        <f t="shared" si="4"/>
        <v>0</v>
      </c>
      <c r="P11" s="147">
        <f>'[2]B2-FinPerf SC'!K12</f>
        <v>0</v>
      </c>
      <c r="Q11" s="46">
        <f>'[2]B2-FinPerf SC'!L12</f>
        <v>0</v>
      </c>
      <c r="R11" s="46">
        <f>'[2]B2-FinPerf SC'!M12</f>
        <v>0</v>
      </c>
    </row>
    <row r="12" spans="1:18" ht="12.75" customHeight="1" x14ac:dyDescent="0.2">
      <c r="A12" s="276" t="str">
        <f>'[2]B2-FinPerf SC'!A13</f>
        <v>Sport and recreation</v>
      </c>
      <c r="B12" s="55"/>
      <c r="C12" s="53"/>
      <c r="D12" s="53"/>
      <c r="E12" s="53"/>
      <c r="F12" s="53"/>
      <c r="G12" s="74"/>
      <c r="H12" s="55"/>
      <c r="I12" s="53"/>
      <c r="J12" s="53"/>
      <c r="K12" s="53"/>
      <c r="L12" s="55"/>
      <c r="M12" s="64"/>
      <c r="N12" s="73">
        <f t="shared" si="3"/>
        <v>0</v>
      </c>
      <c r="O12" s="90">
        <f t="shared" si="4"/>
        <v>0</v>
      </c>
      <c r="P12" s="147">
        <f>'[2]B2-FinPerf SC'!K13</f>
        <v>0</v>
      </c>
      <c r="Q12" s="46">
        <f>'[2]B2-FinPerf SC'!L13</f>
        <v>0</v>
      </c>
      <c r="R12" s="46">
        <f>'[2]B2-FinPerf SC'!M13</f>
        <v>0</v>
      </c>
    </row>
    <row r="13" spans="1:18" ht="18" customHeight="1" x14ac:dyDescent="0.2">
      <c r="A13" s="276" t="str">
        <f>'[2]B2-FinPerf SC'!A14</f>
        <v>Public safety</v>
      </c>
      <c r="B13" s="55"/>
      <c r="C13" s="53"/>
      <c r="D13" s="53"/>
      <c r="E13" s="53"/>
      <c r="F13" s="53"/>
      <c r="G13" s="74"/>
      <c r="H13" s="55"/>
      <c r="I13" s="53"/>
      <c r="J13" s="53"/>
      <c r="K13" s="53"/>
      <c r="L13" s="53"/>
      <c r="M13" s="64"/>
      <c r="N13" s="73">
        <f t="shared" si="3"/>
        <v>0</v>
      </c>
      <c r="O13" s="90">
        <f t="shared" si="4"/>
        <v>0</v>
      </c>
      <c r="P13" s="147">
        <f>'[2]B2-FinPerf SC'!K14</f>
        <v>0</v>
      </c>
      <c r="Q13" s="65">
        <f>'[2]B2-FinPerf SC'!L14</f>
        <v>0</v>
      </c>
      <c r="R13" s="46">
        <f>'[2]B2-FinPerf SC'!M14</f>
        <v>0</v>
      </c>
    </row>
    <row r="14" spans="1:18" ht="12.75" customHeight="1" x14ac:dyDescent="0.2">
      <c r="A14" s="276" t="str">
        <f>'[2]B2-FinPerf SC'!A15</f>
        <v>Housing</v>
      </c>
      <c r="B14" s="145"/>
      <c r="C14" s="145"/>
      <c r="D14" s="145"/>
      <c r="E14" s="145"/>
      <c r="F14" s="145"/>
      <c r="G14" s="145"/>
      <c r="H14" s="145"/>
      <c r="I14" s="145"/>
      <c r="J14" s="145"/>
      <c r="K14" s="145"/>
      <c r="L14" s="145"/>
      <c r="M14" s="64"/>
      <c r="N14" s="73">
        <f t="shared" si="3"/>
        <v>0</v>
      </c>
      <c r="O14" s="90">
        <f t="shared" si="4"/>
        <v>0</v>
      </c>
      <c r="P14" s="147">
        <f>'[2]B2-FinPerf SC'!K15</f>
        <v>0</v>
      </c>
      <c r="Q14" s="65">
        <f>'[2]B2-FinPerf SC'!L15</f>
        <v>0</v>
      </c>
      <c r="R14" s="46">
        <f>'[2]B2-FinPerf SC'!M15</f>
        <v>0</v>
      </c>
    </row>
    <row r="15" spans="1:18" ht="12.75" customHeight="1" x14ac:dyDescent="0.2">
      <c r="A15" s="276" t="str">
        <f>'[2]B2-FinPerf SC'!A16</f>
        <v>Health</v>
      </c>
      <c r="B15" s="55"/>
      <c r="C15" s="53"/>
      <c r="D15" s="53"/>
      <c r="E15" s="53"/>
      <c r="F15" s="53"/>
      <c r="G15" s="74"/>
      <c r="H15" s="55"/>
      <c r="I15" s="53"/>
      <c r="J15" s="53"/>
      <c r="K15" s="53"/>
      <c r="L15" s="53"/>
      <c r="M15" s="64"/>
      <c r="N15" s="73">
        <f t="shared" si="3"/>
        <v>0</v>
      </c>
      <c r="O15" s="90">
        <f t="shared" si="4"/>
        <v>0</v>
      </c>
      <c r="P15" s="147">
        <f>'[2]B2-FinPerf SC'!K16</f>
        <v>0</v>
      </c>
      <c r="Q15" s="65">
        <f>'[2]B2-FinPerf SC'!L16</f>
        <v>0</v>
      </c>
      <c r="R15" s="46">
        <f>'[2]B2-FinPerf SC'!M16</f>
        <v>0</v>
      </c>
    </row>
    <row r="16" spans="1:18" ht="12.75" customHeight="1" x14ac:dyDescent="0.2">
      <c r="A16" s="276" t="str">
        <f>'[2]B2-FinPerf SC'!A17</f>
        <v>Economic and environmental services</v>
      </c>
      <c r="B16" s="145"/>
      <c r="C16" s="145">
        <f t="shared" ref="C16:M16" si="6">SUM(C17:C19)</f>
        <v>1741807</v>
      </c>
      <c r="D16" s="145">
        <f t="shared" si="6"/>
        <v>7750</v>
      </c>
      <c r="E16" s="145">
        <f t="shared" si="6"/>
        <v>1537763</v>
      </c>
      <c r="F16" s="145">
        <f t="shared" si="6"/>
        <v>1985642</v>
      </c>
      <c r="G16" s="145">
        <f t="shared" si="6"/>
        <v>1563854</v>
      </c>
      <c r="H16" s="145">
        <f t="shared" si="6"/>
        <v>1357658</v>
      </c>
      <c r="I16" s="145">
        <f t="shared" si="6"/>
        <v>1275375</v>
      </c>
      <c r="J16" s="145">
        <f t="shared" si="6"/>
        <v>1023657</v>
      </c>
      <c r="K16" s="145">
        <f t="shared" si="6"/>
        <v>1563875</v>
      </c>
      <c r="L16" s="145">
        <f t="shared" si="6"/>
        <v>1297565</v>
      </c>
      <c r="M16" s="64">
        <f t="shared" si="6"/>
        <v>1175635</v>
      </c>
      <c r="N16" s="73">
        <f t="shared" si="3"/>
        <v>3238093.0600000024</v>
      </c>
      <c r="O16" s="90">
        <f t="shared" si="4"/>
        <v>17768674.060000002</v>
      </c>
      <c r="P16" s="147">
        <f>'[2]B2-FinPerf SC'!K17</f>
        <v>17768674.060000002</v>
      </c>
      <c r="Q16" s="65">
        <f>'[2]B2-FinPerf SC'!L17</f>
        <v>17135820.230087802</v>
      </c>
      <c r="R16" s="46">
        <f>'[2]B2-FinPerf SC'!M17</f>
        <v>18061154.522512499</v>
      </c>
    </row>
    <row r="17" spans="1:18" ht="12.75" customHeight="1" x14ac:dyDescent="0.2">
      <c r="A17" s="276" t="str">
        <f>'[2]B2-FinPerf SC'!A18</f>
        <v>Planning and development</v>
      </c>
      <c r="B17" s="145"/>
      <c r="C17" s="67"/>
      <c r="D17" s="67"/>
      <c r="E17" s="67"/>
      <c r="F17" s="67"/>
      <c r="G17" s="67"/>
      <c r="H17" s="67"/>
      <c r="I17" s="67"/>
      <c r="J17" s="67"/>
      <c r="K17" s="67"/>
      <c r="L17" s="67"/>
      <c r="M17" s="64"/>
      <c r="N17" s="73">
        <f t="shared" si="3"/>
        <v>0</v>
      </c>
      <c r="O17" s="90">
        <f t="shared" si="4"/>
        <v>0</v>
      </c>
      <c r="P17" s="147">
        <f>'[2]B2-FinPerf SC'!K18</f>
        <v>0</v>
      </c>
      <c r="Q17" s="65">
        <f>'[2]B2-FinPerf SC'!L18</f>
        <v>0</v>
      </c>
      <c r="R17" s="46">
        <f>'[2]B2-FinPerf SC'!M18</f>
        <v>0</v>
      </c>
    </row>
    <row r="18" spans="1:18" ht="12.75" customHeight="1" x14ac:dyDescent="0.2">
      <c r="A18" s="276" t="str">
        <f>'[2]B2-FinPerf SC'!A19</f>
        <v>Road transport</v>
      </c>
      <c r="B18" s="145"/>
      <c r="C18" s="67">
        <v>1741807</v>
      </c>
      <c r="D18" s="67">
        <v>7750</v>
      </c>
      <c r="E18" s="67">
        <v>1537763</v>
      </c>
      <c r="F18" s="67">
        <v>1985642</v>
      </c>
      <c r="G18" s="67">
        <v>1563854</v>
      </c>
      <c r="H18" s="67">
        <v>1357658</v>
      </c>
      <c r="I18" s="67">
        <v>1275375</v>
      </c>
      <c r="J18" s="67">
        <v>1023657</v>
      </c>
      <c r="K18" s="67">
        <v>1563875</v>
      </c>
      <c r="L18" s="67">
        <v>1297565</v>
      </c>
      <c r="M18" s="64">
        <v>1175635</v>
      </c>
      <c r="N18" s="73">
        <f t="shared" si="3"/>
        <v>3238093.0600000024</v>
      </c>
      <c r="O18" s="90">
        <f t="shared" si="4"/>
        <v>17768674.060000002</v>
      </c>
      <c r="P18" s="147">
        <f>'[2]B2-FinPerf SC'!K19</f>
        <v>17768674.060000002</v>
      </c>
      <c r="Q18" s="65">
        <f>'[2]B2-FinPerf SC'!L19</f>
        <v>17135820.230087802</v>
      </c>
      <c r="R18" s="46">
        <f>'[2]B2-FinPerf SC'!M19</f>
        <v>18061154.522512499</v>
      </c>
    </row>
    <row r="19" spans="1:18" ht="12.75" customHeight="1" x14ac:dyDescent="0.2">
      <c r="A19" s="276" t="str">
        <f>'[2]B2-FinPerf SC'!A20</f>
        <v>Environmental protection</v>
      </c>
      <c r="B19" s="145"/>
      <c r="C19" s="67"/>
      <c r="D19" s="67"/>
      <c r="E19" s="67"/>
      <c r="F19" s="67"/>
      <c r="G19" s="67"/>
      <c r="H19" s="67"/>
      <c r="I19" s="67"/>
      <c r="J19" s="67"/>
      <c r="K19" s="67"/>
      <c r="L19" s="67"/>
      <c r="M19" s="64"/>
      <c r="N19" s="73">
        <f t="shared" si="3"/>
        <v>0</v>
      </c>
      <c r="O19" s="90">
        <f t="shared" si="4"/>
        <v>0</v>
      </c>
      <c r="P19" s="147">
        <f>'[2]B2-FinPerf SC'!K20</f>
        <v>0</v>
      </c>
      <c r="Q19" s="65">
        <f>'[2]B2-FinPerf SC'!L20</f>
        <v>0</v>
      </c>
      <c r="R19" s="46">
        <f>'[2]B2-FinPerf SC'!M20</f>
        <v>0</v>
      </c>
    </row>
    <row r="20" spans="1:18" ht="12.75" customHeight="1" x14ac:dyDescent="0.2">
      <c r="A20" s="190" t="str">
        <f>'[2]B2-FinPerf SC'!A21</f>
        <v>Trading services</v>
      </c>
      <c r="B20" s="148"/>
      <c r="C20" s="58">
        <f>SUM(C21:C24)</f>
        <v>1584698.17</v>
      </c>
      <c r="D20" s="58">
        <f t="shared" ref="D20:M20" si="7">SUM(D21:D24)</f>
        <v>1702970</v>
      </c>
      <c r="E20" s="58">
        <f t="shared" si="7"/>
        <v>904172</v>
      </c>
      <c r="F20" s="58">
        <f t="shared" si="7"/>
        <v>2186874</v>
      </c>
      <c r="G20" s="58">
        <f t="shared" si="7"/>
        <v>2252156</v>
      </c>
      <c r="H20" s="58">
        <f t="shared" si="7"/>
        <v>2539977</v>
      </c>
      <c r="I20" s="58">
        <f t="shared" si="7"/>
        <v>2581620</v>
      </c>
      <c r="J20" s="58">
        <f t="shared" si="7"/>
        <v>2505987</v>
      </c>
      <c r="K20" s="58">
        <f t="shared" si="7"/>
        <v>2944178</v>
      </c>
      <c r="L20" s="58">
        <f t="shared" si="7"/>
        <v>2798434</v>
      </c>
      <c r="M20" s="59">
        <f t="shared" si="7"/>
        <v>2713996</v>
      </c>
      <c r="N20" s="57">
        <f>P20-SUM(C20:M20)</f>
        <v>8443444.7969599962</v>
      </c>
      <c r="O20" s="58">
        <f t="shared" si="4"/>
        <v>33158506.966959998</v>
      </c>
      <c r="P20" s="149">
        <f>'[2]B2-FinPerf SC'!K21</f>
        <v>33158506.966959998</v>
      </c>
      <c r="Q20" s="65">
        <f>'[2]B2-FinPerf SC'!L21</f>
        <v>30670374.254734963</v>
      </c>
      <c r="R20" s="46">
        <f>'[2]B2-FinPerf SC'!M21</f>
        <v>31948574.464490652</v>
      </c>
    </row>
    <row r="21" spans="1:18" ht="12.75" customHeight="1" x14ac:dyDescent="0.2">
      <c r="A21" s="271" t="str">
        <f>'[2]B2-FinPerf SC'!A22</f>
        <v>Energy sources</v>
      </c>
      <c r="B21" s="150"/>
      <c r="C21" s="52">
        <v>1131384.17</v>
      </c>
      <c r="D21" s="52">
        <v>1249760</v>
      </c>
      <c r="E21" s="52">
        <v>449208</v>
      </c>
      <c r="F21" s="52">
        <v>1696522</v>
      </c>
      <c r="G21" s="52">
        <v>1776524</v>
      </c>
      <c r="H21" s="52">
        <v>1946525</v>
      </c>
      <c r="I21" s="52">
        <v>2036985</v>
      </c>
      <c r="J21" s="52">
        <v>1865352</v>
      </c>
      <c r="K21" s="52">
        <v>2333546</v>
      </c>
      <c r="L21" s="52">
        <v>2163480</v>
      </c>
      <c r="M21" s="64">
        <v>2035475</v>
      </c>
      <c r="N21" s="73">
        <f t="shared" si="3"/>
        <v>7801692.7969599962</v>
      </c>
      <c r="O21" s="52">
        <f t="shared" si="4"/>
        <v>26486453.966959998</v>
      </c>
      <c r="P21" s="146">
        <f>'[2]B2-FinPerf SC'!K22</f>
        <v>26486453.966959998</v>
      </c>
      <c r="Q21" s="65">
        <f>'[2]B2-FinPerf SC'!L22</f>
        <v>23638029.913544402</v>
      </c>
      <c r="R21" s="46">
        <f>'[2]B2-FinPerf SC'!M22</f>
        <v>24536483.528875802</v>
      </c>
    </row>
    <row r="22" spans="1:18" ht="12.75" customHeight="1" x14ac:dyDescent="0.2">
      <c r="A22" s="269" t="str">
        <f>'[2]B2-FinPerf SC'!A23</f>
        <v>Water management</v>
      </c>
      <c r="B22" s="55"/>
      <c r="C22" s="53"/>
      <c r="D22" s="53"/>
      <c r="E22" s="53"/>
      <c r="F22" s="53"/>
      <c r="G22" s="74"/>
      <c r="H22" s="55"/>
      <c r="I22" s="53"/>
      <c r="J22" s="53"/>
      <c r="K22" s="53"/>
      <c r="L22" s="53"/>
      <c r="M22" s="64"/>
      <c r="N22" s="73">
        <f t="shared" si="3"/>
        <v>0</v>
      </c>
      <c r="O22" s="52">
        <f t="shared" si="4"/>
        <v>0</v>
      </c>
      <c r="P22" s="146">
        <f>'[2]B2-FinPerf SC'!K23</f>
        <v>0</v>
      </c>
      <c r="Q22" s="65">
        <f>'[2]B2-FinPerf SC'!L23</f>
        <v>0</v>
      </c>
      <c r="R22" s="46">
        <f>'[2]B2-FinPerf SC'!M23</f>
        <v>0</v>
      </c>
    </row>
    <row r="23" spans="1:18" ht="12.75" customHeight="1" x14ac:dyDescent="0.2">
      <c r="A23" s="269" t="str">
        <f>'[2]B2-FinPerf SC'!A24</f>
        <v>Waste water management</v>
      </c>
      <c r="B23" s="55"/>
      <c r="C23" s="53"/>
      <c r="D23" s="53"/>
      <c r="E23" s="53"/>
      <c r="F23" s="53"/>
      <c r="G23" s="74"/>
      <c r="H23" s="55"/>
      <c r="I23" s="53"/>
      <c r="J23" s="53"/>
      <c r="K23" s="53"/>
      <c r="L23" s="53"/>
      <c r="M23" s="64"/>
      <c r="N23" s="73">
        <f t="shared" si="3"/>
        <v>0</v>
      </c>
      <c r="O23" s="52">
        <f t="shared" si="4"/>
        <v>0</v>
      </c>
      <c r="P23" s="146">
        <f>'[2]B2-FinPerf SC'!K24</f>
        <v>0</v>
      </c>
      <c r="Q23" s="65">
        <f>'[2]B2-FinPerf SC'!L24</f>
        <v>0</v>
      </c>
      <c r="R23" s="46">
        <f>'[2]B2-FinPerf SC'!M24</f>
        <v>0</v>
      </c>
    </row>
    <row r="24" spans="1:18" ht="12.75" customHeight="1" x14ac:dyDescent="0.2">
      <c r="A24" s="269" t="str">
        <f>'[2]B2-FinPerf SC'!A25</f>
        <v>Waste management</v>
      </c>
      <c r="B24" s="55"/>
      <c r="C24" s="53">
        <v>453314</v>
      </c>
      <c r="D24" s="53">
        <v>453210</v>
      </c>
      <c r="E24" s="53">
        <v>454964</v>
      </c>
      <c r="F24" s="53">
        <v>490352</v>
      </c>
      <c r="G24" s="74">
        <v>475632</v>
      </c>
      <c r="H24" s="55">
        <v>593452</v>
      </c>
      <c r="I24" s="53">
        <v>544635</v>
      </c>
      <c r="J24" s="53">
        <v>640635</v>
      </c>
      <c r="K24" s="53">
        <v>610632</v>
      </c>
      <c r="L24" s="53">
        <v>634954</v>
      </c>
      <c r="M24" s="64">
        <v>678521</v>
      </c>
      <c r="N24" s="73">
        <f t="shared" si="3"/>
        <v>641751.99999999907</v>
      </c>
      <c r="O24" s="52">
        <f t="shared" si="4"/>
        <v>6672052.9999999991</v>
      </c>
      <c r="P24" s="146">
        <f>'[2]B2-FinPerf SC'!K25</f>
        <v>6672052.9999999991</v>
      </c>
      <c r="Q24" s="65">
        <f>'[2]B2-FinPerf SC'!L25</f>
        <v>7032344.3411905598</v>
      </c>
      <c r="R24" s="46">
        <f>'[2]B2-FinPerf SC'!M25</f>
        <v>7412090.9356148504</v>
      </c>
    </row>
    <row r="25" spans="1:18" ht="12.75" customHeight="1" x14ac:dyDescent="0.2">
      <c r="A25" s="269" t="str">
        <f>'[2]B2-FinPerf SC'!A26</f>
        <v>Other</v>
      </c>
      <c r="B25" s="145"/>
      <c r="C25" s="145"/>
      <c r="D25" s="145"/>
      <c r="E25" s="145"/>
      <c r="F25" s="145"/>
      <c r="G25" s="145"/>
      <c r="H25" s="145"/>
      <c r="I25" s="145"/>
      <c r="J25" s="145"/>
      <c r="K25" s="145"/>
      <c r="L25" s="145"/>
      <c r="M25" s="64"/>
      <c r="N25" s="73">
        <f t="shared" si="3"/>
        <v>0</v>
      </c>
      <c r="O25" s="52">
        <f t="shared" si="4"/>
        <v>0</v>
      </c>
      <c r="P25" s="146">
        <f>'[2]B2-FinPerf SC'!K26</f>
        <v>0</v>
      </c>
      <c r="Q25" s="65">
        <f>'[2]B2-FinPerf SC'!L26</f>
        <v>0</v>
      </c>
      <c r="R25" s="46">
        <f>'[2]B2-FinPerf SC'!M26</f>
        <v>0</v>
      </c>
    </row>
    <row r="26" spans="1:18" ht="12.75" customHeight="1" x14ac:dyDescent="0.2">
      <c r="A26" s="269" t="s">
        <v>921</v>
      </c>
      <c r="B26" s="145"/>
      <c r="C26" s="145">
        <f>C6+C10+C16+C20+C25</f>
        <v>122133271.17</v>
      </c>
      <c r="D26" s="145">
        <f>D6+D10+D16+D20+D25</f>
        <v>4481390</v>
      </c>
      <c r="E26" s="145">
        <f>E6+E10+E16+E20+E25</f>
        <v>64089004</v>
      </c>
      <c r="F26" s="145">
        <f t="shared" ref="F26:R26" si="8">F6+F10+F16+F20+F25</f>
        <v>6538271</v>
      </c>
      <c r="G26" s="145">
        <f t="shared" si="8"/>
        <v>7403134</v>
      </c>
      <c r="H26" s="145">
        <f t="shared" si="8"/>
        <v>101263489</v>
      </c>
      <c r="I26" s="145">
        <f t="shared" si="8"/>
        <v>5222751</v>
      </c>
      <c r="J26" s="145">
        <f t="shared" si="8"/>
        <v>6106168</v>
      </c>
      <c r="K26" s="145">
        <f t="shared" si="8"/>
        <v>76829510</v>
      </c>
      <c r="L26" s="145">
        <f t="shared" si="8"/>
        <v>5453653</v>
      </c>
      <c r="M26" s="64">
        <f t="shared" si="8"/>
        <v>7085383</v>
      </c>
      <c r="N26" s="73">
        <f t="shared" si="8"/>
        <v>19237673.17215997</v>
      </c>
      <c r="O26" s="52">
        <f t="shared" si="8"/>
        <v>425843697.34215999</v>
      </c>
      <c r="P26" s="146">
        <f t="shared" si="8"/>
        <v>425843697.34215999</v>
      </c>
      <c r="Q26" s="65">
        <f t="shared" si="8"/>
        <v>440647124.28060484</v>
      </c>
      <c r="R26" s="46">
        <f t="shared" si="8"/>
        <v>470929116.99175715</v>
      </c>
    </row>
    <row r="27" spans="1:18" ht="5.0999999999999996" customHeight="1" x14ac:dyDescent="0.2">
      <c r="A27" s="269"/>
      <c r="B27" s="145"/>
      <c r="C27" s="145"/>
      <c r="D27" s="145"/>
      <c r="E27" s="145"/>
      <c r="F27" s="145"/>
      <c r="G27" s="145"/>
      <c r="H27" s="145"/>
      <c r="I27" s="145"/>
      <c r="J27" s="145"/>
      <c r="K27" s="145"/>
      <c r="L27" s="145"/>
      <c r="M27" s="64"/>
      <c r="N27" s="73"/>
      <c r="O27" s="52"/>
      <c r="P27" s="146"/>
      <c r="Q27" s="65"/>
    </row>
    <row r="28" spans="1:18" ht="12.75" customHeight="1" x14ac:dyDescent="0.2">
      <c r="A28" s="269" t="s">
        <v>922</v>
      </c>
      <c r="B28" s="145"/>
      <c r="C28" s="145"/>
      <c r="D28" s="145"/>
      <c r="E28" s="145"/>
      <c r="F28" s="145"/>
      <c r="G28" s="145"/>
      <c r="H28" s="145"/>
      <c r="I28" s="145"/>
      <c r="J28" s="145"/>
      <c r="K28" s="145"/>
      <c r="L28" s="145"/>
      <c r="M28" s="64"/>
      <c r="N28" s="73"/>
      <c r="O28" s="52"/>
      <c r="P28" s="146"/>
      <c r="Q28" s="65"/>
    </row>
    <row r="29" spans="1:18" ht="20.399999999999999" customHeight="1" x14ac:dyDescent="0.2">
      <c r="A29" s="269" t="str">
        <f t="shared" ref="A29:A48" si="9">A6</f>
        <v>Governance and administration</v>
      </c>
      <c r="B29" s="145"/>
      <c r="C29" s="145">
        <f t="shared" ref="C29:M29" si="10">SUM(C30:C32)</f>
        <v>12260397</v>
      </c>
      <c r="D29" s="145">
        <f t="shared" si="10"/>
        <v>14680574</v>
      </c>
      <c r="E29" s="145">
        <f t="shared" si="10"/>
        <v>13064358</v>
      </c>
      <c r="F29" s="145">
        <f t="shared" si="10"/>
        <v>13215982</v>
      </c>
      <c r="G29" s="145">
        <f t="shared" si="10"/>
        <v>13432561</v>
      </c>
      <c r="H29" s="145">
        <f t="shared" si="10"/>
        <v>23077451</v>
      </c>
      <c r="I29" s="145">
        <f t="shared" si="10"/>
        <v>11473700</v>
      </c>
      <c r="J29" s="145">
        <f t="shared" si="10"/>
        <v>9926389</v>
      </c>
      <c r="K29" s="145">
        <f t="shared" si="10"/>
        <v>11781354</v>
      </c>
      <c r="L29" s="145">
        <f t="shared" si="10"/>
        <v>10259865</v>
      </c>
      <c r="M29" s="64">
        <f t="shared" si="10"/>
        <v>9322532</v>
      </c>
      <c r="N29" s="73">
        <f t="shared" ref="N29:N48" si="11">P29-SUM(C29:M29)</f>
        <v>24200281.769999981</v>
      </c>
      <c r="O29" s="52">
        <f t="shared" ref="O29:O37" si="12">SUM(C29:N29)</f>
        <v>166695444.76999998</v>
      </c>
      <c r="P29" s="146">
        <f>'[2]B2-FinPerf SC'!K30</f>
        <v>166695444.76999998</v>
      </c>
      <c r="Q29" s="65">
        <f>'[2]B2-FinPerf SC'!L30</f>
        <v>163523798.77631429</v>
      </c>
      <c r="R29" s="46">
        <f>'[2]B2-FinPerf SC'!M30</f>
        <v>173030024.05477315</v>
      </c>
    </row>
    <row r="30" spans="1:18" ht="12.75" customHeight="1" x14ac:dyDescent="0.2">
      <c r="A30" s="269" t="str">
        <f t="shared" si="9"/>
        <v>Executive and council</v>
      </c>
      <c r="B30" s="145"/>
      <c r="C30" s="145">
        <v>3086200</v>
      </c>
      <c r="D30" s="145">
        <v>4700946</v>
      </c>
      <c r="E30" s="145">
        <v>4184278</v>
      </c>
      <c r="F30" s="145">
        <v>3894000</v>
      </c>
      <c r="G30" s="145">
        <v>4521000</v>
      </c>
      <c r="H30" s="145">
        <v>7928117</v>
      </c>
      <c r="I30" s="145">
        <v>4521000</v>
      </c>
      <c r="J30" s="145">
        <v>4184278</v>
      </c>
      <c r="K30" s="145">
        <v>5521000</v>
      </c>
      <c r="L30" s="145">
        <v>4184278</v>
      </c>
      <c r="M30" s="64">
        <v>3894000</v>
      </c>
      <c r="N30" s="73">
        <f t="shared" si="11"/>
        <v>8895388.8900000006</v>
      </c>
      <c r="O30" s="52">
        <f t="shared" si="12"/>
        <v>59514485.890000001</v>
      </c>
      <c r="P30" s="146">
        <f>'[2]B2-FinPerf SC'!K31</f>
        <v>59514485.890000001</v>
      </c>
      <c r="Q30" s="65">
        <f>'[2]B2-FinPerf SC'!L31</f>
        <v>57809855.583521083</v>
      </c>
      <c r="R30" s="46">
        <f>'[2]B2-FinPerf SC'!M31</f>
        <v>61061787.877573863</v>
      </c>
    </row>
    <row r="31" spans="1:18" ht="12.75" customHeight="1" x14ac:dyDescent="0.2">
      <c r="A31" s="269" t="str">
        <f t="shared" si="9"/>
        <v>Finance and administration</v>
      </c>
      <c r="B31" s="145"/>
      <c r="C31" s="145">
        <v>9049744</v>
      </c>
      <c r="D31" s="145">
        <v>9849994</v>
      </c>
      <c r="E31" s="145">
        <v>8660005</v>
      </c>
      <c r="F31" s="145">
        <v>9023525</v>
      </c>
      <c r="G31" s="145">
        <v>8660005</v>
      </c>
      <c r="H31" s="145">
        <v>14962859</v>
      </c>
      <c r="I31" s="145">
        <v>6707169</v>
      </c>
      <c r="J31" s="145">
        <v>5412000</v>
      </c>
      <c r="K31" s="145">
        <v>6061800</v>
      </c>
      <c r="L31" s="145">
        <v>5874000</v>
      </c>
      <c r="M31" s="64">
        <v>5251000</v>
      </c>
      <c r="N31" s="73">
        <f t="shared" si="11"/>
        <v>15042126.879999995</v>
      </c>
      <c r="O31" s="52">
        <f t="shared" si="12"/>
        <v>104554227.88</v>
      </c>
      <c r="P31" s="146">
        <f>'[2]B2-FinPerf SC'!K32</f>
        <v>104554227.88</v>
      </c>
      <c r="Q31" s="65">
        <f>'[2]B2-FinPerf SC'!L32</f>
        <v>102921450.08340442</v>
      </c>
      <c r="R31" s="46">
        <f>'[2]B2-FinPerf SC'!M32</f>
        <v>108999378.89464387</v>
      </c>
    </row>
    <row r="32" spans="1:18" ht="12.75" customHeight="1" x14ac:dyDescent="0.2">
      <c r="A32" s="269" t="str">
        <f t="shared" si="9"/>
        <v>Internal audit</v>
      </c>
      <c r="B32" s="151"/>
      <c r="C32" s="151">
        <v>124453</v>
      </c>
      <c r="D32" s="151">
        <v>129634</v>
      </c>
      <c r="E32" s="151">
        <v>220075</v>
      </c>
      <c r="F32" s="151">
        <v>298457</v>
      </c>
      <c r="G32" s="151">
        <v>251556</v>
      </c>
      <c r="H32" s="151">
        <v>186475</v>
      </c>
      <c r="I32" s="151">
        <v>245531</v>
      </c>
      <c r="J32" s="151">
        <v>330111</v>
      </c>
      <c r="K32" s="151">
        <v>198554</v>
      </c>
      <c r="L32" s="151">
        <v>201587</v>
      </c>
      <c r="M32" s="64">
        <v>177532</v>
      </c>
      <c r="N32" s="73">
        <f t="shared" si="11"/>
        <v>262766</v>
      </c>
      <c r="O32" s="52">
        <f t="shared" si="12"/>
        <v>2626731</v>
      </c>
      <c r="P32" s="146">
        <f>'[2]B2-FinPerf SC'!K33</f>
        <v>2626731</v>
      </c>
      <c r="Q32" s="65">
        <f>'[2]B2-FinPerf SC'!L33</f>
        <v>2792493.1093887901</v>
      </c>
      <c r="R32" s="46">
        <f>'[2]B2-FinPerf SC'!M33</f>
        <v>2968857.2825553967</v>
      </c>
    </row>
    <row r="33" spans="1:18" ht="30.6" x14ac:dyDescent="0.2">
      <c r="A33" s="269" t="str">
        <f t="shared" si="9"/>
        <v>Community and public safety</v>
      </c>
      <c r="B33" s="145"/>
      <c r="C33" s="67">
        <f t="shared" ref="C33:M33" si="13">SUM(C34:C38)</f>
        <v>1704069</v>
      </c>
      <c r="D33" s="67">
        <f t="shared" si="13"/>
        <v>3528009</v>
      </c>
      <c r="E33" s="67">
        <f t="shared" si="13"/>
        <v>1485371</v>
      </c>
      <c r="F33" s="67">
        <f t="shared" si="13"/>
        <v>3142577</v>
      </c>
      <c r="G33" s="67">
        <f t="shared" si="13"/>
        <v>2398895</v>
      </c>
      <c r="H33" s="67">
        <f t="shared" si="13"/>
        <v>1919419</v>
      </c>
      <c r="I33" s="67">
        <f t="shared" si="13"/>
        <v>1534497</v>
      </c>
      <c r="J33" s="67">
        <f t="shared" si="13"/>
        <v>1968407</v>
      </c>
      <c r="K33" s="67">
        <f t="shared" si="13"/>
        <v>1794973</v>
      </c>
      <c r="L33" s="67">
        <f t="shared" si="13"/>
        <v>1548406</v>
      </c>
      <c r="M33" s="64">
        <f t="shared" si="13"/>
        <v>1628332</v>
      </c>
      <c r="N33" s="73">
        <f t="shared" si="11"/>
        <v>892313.72000000253</v>
      </c>
      <c r="O33" s="52">
        <f t="shared" si="12"/>
        <v>23545268.720000003</v>
      </c>
      <c r="P33" s="146">
        <f>'[2]B2-FinPerf SC'!K34</f>
        <v>23545268.720000003</v>
      </c>
      <c r="Q33" s="65">
        <f>'[2]B2-FinPerf SC'!L34</f>
        <v>23302556.057213578</v>
      </c>
      <c r="R33" s="46">
        <f>'[2]B2-FinPerf SC'!M34</f>
        <v>25045829.541520596</v>
      </c>
    </row>
    <row r="34" spans="1:18" ht="30.6" x14ac:dyDescent="0.2">
      <c r="A34" s="269" t="str">
        <f t="shared" si="9"/>
        <v>Community and social services</v>
      </c>
      <c r="B34" s="145"/>
      <c r="C34" s="67">
        <v>564207</v>
      </c>
      <c r="D34" s="67">
        <v>661867</v>
      </c>
      <c r="E34" s="67">
        <v>2130344</v>
      </c>
      <c r="F34" s="67">
        <v>985347</v>
      </c>
      <c r="G34" s="67">
        <v>754788</v>
      </c>
      <c r="H34" s="67">
        <v>586354</v>
      </c>
      <c r="I34" s="67">
        <v>435412</v>
      </c>
      <c r="J34" s="67">
        <v>564207</v>
      </c>
      <c r="K34" s="67">
        <v>661867</v>
      </c>
      <c r="L34" s="67">
        <v>450321</v>
      </c>
      <c r="M34" s="64">
        <v>531247</v>
      </c>
      <c r="N34" s="73">
        <f t="shared" si="11"/>
        <v>956258.3200000003</v>
      </c>
      <c r="O34" s="52">
        <f t="shared" si="12"/>
        <v>9282219.3200000003</v>
      </c>
      <c r="P34" s="146">
        <f>'[2]B2-FinPerf SC'!K35</f>
        <v>9282219.3200000003</v>
      </c>
      <c r="Q34" s="65">
        <f>'[2]B2-FinPerf SC'!L35</f>
        <v>6685613.7979259361</v>
      </c>
      <c r="R34" s="46">
        <f>'[2]B2-FinPerf SC'!M35</f>
        <v>7330516.3680212004</v>
      </c>
    </row>
    <row r="35" spans="1:18" ht="20.399999999999999" x14ac:dyDescent="0.2">
      <c r="A35" s="269" t="str">
        <f t="shared" si="9"/>
        <v>Sport and recreation</v>
      </c>
      <c r="B35" s="145"/>
      <c r="C35" s="67">
        <v>1070563</v>
      </c>
      <c r="D35" s="67">
        <v>2802555</v>
      </c>
      <c r="E35" s="67">
        <v>-708516</v>
      </c>
      <c r="F35" s="67">
        <v>2093687</v>
      </c>
      <c r="G35" s="67">
        <v>1579564</v>
      </c>
      <c r="H35" s="67">
        <v>1267522</v>
      </c>
      <c r="I35" s="67">
        <v>1032542</v>
      </c>
      <c r="J35" s="67">
        <v>1340657</v>
      </c>
      <c r="K35" s="67">
        <v>1070563</v>
      </c>
      <c r="L35" s="67">
        <v>1032542</v>
      </c>
      <c r="M35" s="64">
        <v>1032542</v>
      </c>
      <c r="N35" s="73">
        <f t="shared" si="11"/>
        <v>-226455.78999999911</v>
      </c>
      <c r="O35" s="52">
        <f t="shared" si="12"/>
        <v>13387765.210000001</v>
      </c>
      <c r="P35" s="146">
        <f>'[2]B2-FinPerf SC'!K36</f>
        <v>13387765.210000001</v>
      </c>
      <c r="Q35" s="65">
        <f>'[2]B2-FinPerf SC'!L36</f>
        <v>15786854.986601755</v>
      </c>
      <c r="R35" s="46">
        <f>'[2]B2-FinPerf SC'!M36</f>
        <v>16828265.220500633</v>
      </c>
    </row>
    <row r="36" spans="1:18" ht="20.399999999999999" x14ac:dyDescent="0.2">
      <c r="A36" s="269" t="str">
        <f t="shared" si="9"/>
        <v>Public safety</v>
      </c>
      <c r="B36" s="145"/>
      <c r="C36" s="67"/>
      <c r="D36" s="67"/>
      <c r="E36" s="67"/>
      <c r="F36" s="67"/>
      <c r="G36" s="67"/>
      <c r="H36" s="67"/>
      <c r="I36" s="67"/>
      <c r="J36" s="67"/>
      <c r="K36" s="67"/>
      <c r="L36" s="67"/>
      <c r="M36" s="64"/>
      <c r="N36" s="73">
        <f t="shared" si="11"/>
        <v>0</v>
      </c>
      <c r="O36" s="52">
        <f t="shared" si="12"/>
        <v>0</v>
      </c>
      <c r="P36" s="146">
        <f>'[2]B2-FinPerf SC'!K37</f>
        <v>0</v>
      </c>
      <c r="Q36" s="65">
        <f>'[2]B2-FinPerf SC'!L37</f>
        <v>0</v>
      </c>
      <c r="R36" s="46">
        <f>'[2]B2-FinPerf SC'!M37</f>
        <v>0</v>
      </c>
    </row>
    <row r="37" spans="1:18" x14ac:dyDescent="0.2">
      <c r="A37" s="190" t="str">
        <f t="shared" si="9"/>
        <v>Housing</v>
      </c>
      <c r="B37" s="148"/>
      <c r="C37" s="58">
        <v>69299</v>
      </c>
      <c r="D37" s="58">
        <v>63587</v>
      </c>
      <c r="E37" s="58">
        <v>63543</v>
      </c>
      <c r="F37" s="58">
        <v>63543</v>
      </c>
      <c r="G37" s="58">
        <v>64543</v>
      </c>
      <c r="H37" s="58">
        <v>65543</v>
      </c>
      <c r="I37" s="58">
        <v>66543</v>
      </c>
      <c r="J37" s="58">
        <v>63543</v>
      </c>
      <c r="K37" s="58">
        <v>62543</v>
      </c>
      <c r="L37" s="58">
        <v>65543</v>
      </c>
      <c r="M37" s="59">
        <v>64543</v>
      </c>
      <c r="N37" s="57">
        <f t="shared" si="11"/>
        <v>162511.18999999994</v>
      </c>
      <c r="O37" s="58">
        <f t="shared" si="12"/>
        <v>875284.19</v>
      </c>
      <c r="P37" s="149">
        <f>'[2]B2-FinPerf SC'!K38</f>
        <v>875284.19</v>
      </c>
      <c r="Q37" s="65">
        <f>'[2]B2-FinPerf SC'!L38</f>
        <v>830087.27268588985</v>
      </c>
      <c r="R37" s="46">
        <f>'[2]B2-FinPerf SC'!M38</f>
        <v>887047.95299876144</v>
      </c>
    </row>
    <row r="38" spans="1:18" x14ac:dyDescent="0.2">
      <c r="A38" s="270" t="str">
        <f t="shared" si="9"/>
        <v>Health</v>
      </c>
      <c r="B38" s="150"/>
      <c r="C38" s="52"/>
      <c r="D38" s="52"/>
      <c r="E38" s="52"/>
      <c r="F38" s="52"/>
      <c r="G38" s="52"/>
      <c r="H38" s="52"/>
      <c r="I38" s="52"/>
      <c r="J38" s="52"/>
      <c r="K38" s="52"/>
      <c r="L38" s="52"/>
      <c r="M38" s="64"/>
      <c r="N38" s="73">
        <f t="shared" si="11"/>
        <v>0</v>
      </c>
      <c r="O38" s="52"/>
      <c r="P38" s="146">
        <f>'[2]B2-FinPerf SC'!K39</f>
        <v>0</v>
      </c>
      <c r="Q38" s="65">
        <f>'[2]B2-FinPerf SC'!L39</f>
        <v>0</v>
      </c>
      <c r="R38" s="46">
        <f>'[2]B2-FinPerf SC'!M39</f>
        <v>0</v>
      </c>
    </row>
    <row r="39" spans="1:18" ht="51" x14ac:dyDescent="0.2">
      <c r="A39" s="272" t="str">
        <f t="shared" si="9"/>
        <v>Economic and environmental services</v>
      </c>
      <c r="B39" s="148"/>
      <c r="C39" s="58">
        <f t="shared" ref="C39:M39" si="14">SUM(C40:C42)</f>
        <v>6895059</v>
      </c>
      <c r="D39" s="58">
        <f t="shared" si="14"/>
        <v>6060008</v>
      </c>
      <c r="E39" s="58">
        <f t="shared" si="14"/>
        <v>6019080</v>
      </c>
      <c r="F39" s="58">
        <f t="shared" si="14"/>
        <v>5922094</v>
      </c>
      <c r="G39" s="58">
        <f t="shared" si="14"/>
        <v>7603192</v>
      </c>
      <c r="H39" s="58">
        <f t="shared" si="14"/>
        <v>7748757</v>
      </c>
      <c r="I39" s="58">
        <f t="shared" si="14"/>
        <v>5172128</v>
      </c>
      <c r="J39" s="58">
        <f t="shared" si="14"/>
        <v>5678710</v>
      </c>
      <c r="K39" s="58">
        <f t="shared" si="14"/>
        <v>4492299</v>
      </c>
      <c r="L39" s="58">
        <f t="shared" si="14"/>
        <v>6028833</v>
      </c>
      <c r="M39" s="59">
        <f t="shared" si="14"/>
        <v>4272174</v>
      </c>
      <c r="N39" s="57">
        <f t="shared" si="11"/>
        <v>2846120.1999999881</v>
      </c>
      <c r="O39" s="58"/>
      <c r="P39" s="149">
        <f>'[2]B2-FinPerf SC'!K40</f>
        <v>68738454.199999988</v>
      </c>
      <c r="Q39" s="46">
        <f>'[2]B2-FinPerf SC'!L40</f>
        <v>62852781.364147693</v>
      </c>
      <c r="R39" s="46">
        <f>'[2]B2-FinPerf SC'!M40</f>
        <v>66740441.635293707</v>
      </c>
    </row>
    <row r="40" spans="1:18" ht="40.799999999999997" x14ac:dyDescent="0.2">
      <c r="A40" s="270" t="str">
        <f t="shared" si="9"/>
        <v>Planning and development</v>
      </c>
      <c r="B40" s="150"/>
      <c r="C40" s="52">
        <v>768756</v>
      </c>
      <c r="D40" s="52">
        <v>2253125</v>
      </c>
      <c r="E40" s="52">
        <v>2212197</v>
      </c>
      <c r="F40" s="52">
        <v>1345140</v>
      </c>
      <c r="G40" s="52">
        <v>1837958</v>
      </c>
      <c r="H40" s="52">
        <v>2534219</v>
      </c>
      <c r="I40" s="52">
        <v>1365245</v>
      </c>
      <c r="J40" s="52">
        <v>1501756</v>
      </c>
      <c r="K40" s="52">
        <v>1123547</v>
      </c>
      <c r="L40" s="52">
        <v>1005685</v>
      </c>
      <c r="M40" s="64">
        <v>845324</v>
      </c>
      <c r="N40" s="73">
        <f t="shared" si="11"/>
        <v>1061139.5799999982</v>
      </c>
      <c r="O40" s="52"/>
      <c r="P40" s="146">
        <f>'[2]B2-FinPerf SC'!K41</f>
        <v>17854091.579999998</v>
      </c>
      <c r="Q40" s="46">
        <f>'[2]B2-FinPerf SC'!L41</f>
        <v>16226547.840510551</v>
      </c>
      <c r="R40" s="46">
        <f>'[2]B2-FinPerf SC'!M41</f>
        <v>17220675.417043187</v>
      </c>
    </row>
    <row r="41" spans="1:18" ht="20.399999999999999" x14ac:dyDescent="0.2">
      <c r="A41" s="269" t="str">
        <f t="shared" si="9"/>
        <v>Road transport</v>
      </c>
      <c r="B41" s="145"/>
      <c r="C41" s="67">
        <v>6126303</v>
      </c>
      <c r="D41" s="67">
        <v>3806883</v>
      </c>
      <c r="E41" s="67">
        <v>3806883</v>
      </c>
      <c r="F41" s="67">
        <v>4576954</v>
      </c>
      <c r="G41" s="67">
        <v>5765234</v>
      </c>
      <c r="H41" s="67">
        <v>5214538</v>
      </c>
      <c r="I41" s="67">
        <v>3806883</v>
      </c>
      <c r="J41" s="67">
        <v>4176954</v>
      </c>
      <c r="K41" s="67">
        <v>3368752</v>
      </c>
      <c r="L41" s="67">
        <v>5023148</v>
      </c>
      <c r="M41" s="64">
        <v>3426850</v>
      </c>
      <c r="N41" s="73">
        <f t="shared" si="11"/>
        <v>1784980.6199999973</v>
      </c>
      <c r="O41" s="52"/>
      <c r="P41" s="146">
        <f>'[2]B2-FinPerf SC'!K42</f>
        <v>50884362.619999997</v>
      </c>
      <c r="Q41" s="46">
        <f>'[2]B2-FinPerf SC'!L42</f>
        <v>46626233.523637146</v>
      </c>
      <c r="R41" s="46">
        <f>'[2]B2-FinPerf SC'!M42</f>
        <v>49519766.218250521</v>
      </c>
    </row>
    <row r="42" spans="1:18" ht="30.6" x14ac:dyDescent="0.2">
      <c r="A42" s="269" t="str">
        <f t="shared" si="9"/>
        <v>Environmental protection</v>
      </c>
      <c r="B42" s="145"/>
      <c r="C42" s="67"/>
      <c r="D42" s="67"/>
      <c r="E42" s="67"/>
      <c r="F42" s="67"/>
      <c r="G42" s="67"/>
      <c r="H42" s="67"/>
      <c r="I42" s="67"/>
      <c r="J42" s="67"/>
      <c r="K42" s="67"/>
      <c r="L42" s="67"/>
      <c r="M42" s="64"/>
      <c r="N42" s="73">
        <f t="shared" si="11"/>
        <v>0</v>
      </c>
      <c r="O42" s="52"/>
      <c r="P42" s="146">
        <f>'[2]B2-FinPerf SC'!K43</f>
        <v>0</v>
      </c>
      <c r="Q42" s="46">
        <f>'[2]B2-FinPerf SC'!L43</f>
        <v>0</v>
      </c>
      <c r="R42" s="46">
        <f>'[2]B2-FinPerf SC'!M43</f>
        <v>0</v>
      </c>
    </row>
    <row r="43" spans="1:18" ht="20.399999999999999" x14ac:dyDescent="0.2">
      <c r="A43" s="274" t="str">
        <f t="shared" si="9"/>
        <v>Trading services</v>
      </c>
      <c r="B43" s="145"/>
      <c r="C43" s="67">
        <f>SUM(C44:C47)</f>
        <v>3167143</v>
      </c>
      <c r="D43" s="67">
        <f t="shared" ref="D43:M43" si="15">SUM(D44:D47)</f>
        <v>3087636</v>
      </c>
      <c r="E43" s="67">
        <f t="shared" si="15"/>
        <v>3087636</v>
      </c>
      <c r="F43" s="67">
        <f t="shared" si="15"/>
        <v>4495042</v>
      </c>
      <c r="G43" s="67">
        <f t="shared" si="15"/>
        <v>4810952</v>
      </c>
      <c r="H43" s="67">
        <f t="shared" si="15"/>
        <v>5853191</v>
      </c>
      <c r="I43" s="67">
        <f t="shared" si="15"/>
        <v>4814723</v>
      </c>
      <c r="J43" s="67">
        <f t="shared" si="15"/>
        <v>4150321</v>
      </c>
      <c r="K43" s="67">
        <f t="shared" si="15"/>
        <v>4807429</v>
      </c>
      <c r="L43" s="67">
        <f t="shared" si="15"/>
        <v>5010882</v>
      </c>
      <c r="M43" s="64">
        <f t="shared" si="15"/>
        <v>5423942</v>
      </c>
      <c r="N43" s="73">
        <f>P43-SUM(C43:M43)</f>
        <v>1448122.2800000086</v>
      </c>
      <c r="O43" s="52">
        <f>SUM(C43:N43)</f>
        <v>50157019.280000009</v>
      </c>
      <c r="P43" s="146">
        <f>'[2]B2-FinPerf SC'!K44</f>
        <v>50157019.280000009</v>
      </c>
      <c r="Q43" s="46">
        <f>'[2]B2-FinPerf SC'!L44</f>
        <v>47474815.731486514</v>
      </c>
      <c r="R43" s="46">
        <f>'[2]B2-FinPerf SC'!M44</f>
        <v>50156710.352937542</v>
      </c>
    </row>
    <row r="44" spans="1:18" ht="20.399999999999999" x14ac:dyDescent="0.2">
      <c r="A44" s="152" t="str">
        <f t="shared" si="9"/>
        <v>Energy sources</v>
      </c>
      <c r="B44" s="153"/>
      <c r="C44" s="154">
        <v>2814340</v>
      </c>
      <c r="D44" s="154">
        <v>2910365</v>
      </c>
      <c r="E44" s="154">
        <v>2910365</v>
      </c>
      <c r="F44" s="154">
        <v>4110365</v>
      </c>
      <c r="G44" s="154">
        <v>4410365</v>
      </c>
      <c r="H44" s="154">
        <v>5310365</v>
      </c>
      <c r="I44" s="154">
        <v>4410365</v>
      </c>
      <c r="J44" s="154">
        <v>3510365</v>
      </c>
      <c r="K44" s="154">
        <v>3990365</v>
      </c>
      <c r="L44" s="154">
        <v>4110365</v>
      </c>
      <c r="M44" s="155">
        <v>4710365</v>
      </c>
      <c r="N44" s="156">
        <f t="shared" si="11"/>
        <v>-1168644.2699999958</v>
      </c>
      <c r="O44" s="154">
        <f>SUM(C44:N44)</f>
        <v>42029345.730000004</v>
      </c>
      <c r="P44" s="157">
        <f>'[2]B2-FinPerf SC'!K45</f>
        <v>42029345.730000004</v>
      </c>
      <c r="Q44" s="46">
        <f>'[2]B2-FinPerf SC'!L45</f>
        <v>40832093.910386637</v>
      </c>
      <c r="R44" s="46">
        <f>'[2]B2-FinPerf SC'!M45</f>
        <v>43108554.260668471</v>
      </c>
    </row>
    <row r="45" spans="1:18" s="159" customFormat="1" ht="30.6" x14ac:dyDescent="0.2">
      <c r="A45" s="158" t="str">
        <f t="shared" si="9"/>
        <v>Water management</v>
      </c>
      <c r="B45" s="63"/>
      <c r="C45" s="63"/>
      <c r="D45" s="63"/>
      <c r="E45" s="63"/>
      <c r="F45" s="63"/>
      <c r="G45" s="63"/>
      <c r="H45" s="63"/>
      <c r="I45" s="63"/>
      <c r="J45" s="63"/>
      <c r="K45" s="63"/>
      <c r="L45" s="63"/>
      <c r="M45" s="63"/>
      <c r="N45" s="63">
        <f t="shared" si="11"/>
        <v>0</v>
      </c>
      <c r="O45" s="63"/>
      <c r="P45" s="63">
        <f>'[2]B2-FinPerf SC'!K46</f>
        <v>0</v>
      </c>
      <c r="Q45" s="159">
        <f>'[2]B2-FinPerf SC'!L46</f>
        <v>0</v>
      </c>
      <c r="R45" s="159">
        <f>'[2]B2-FinPerf SC'!M46</f>
        <v>0</v>
      </c>
    </row>
    <row r="46" spans="1:18" s="159" customFormat="1" ht="13.2" customHeight="1" x14ac:dyDescent="0.2">
      <c r="A46" s="557" t="str">
        <f t="shared" si="9"/>
        <v>Waste water management</v>
      </c>
      <c r="B46" s="557"/>
      <c r="C46" s="557">
        <v>52630</v>
      </c>
      <c r="D46" s="557">
        <v>54102</v>
      </c>
      <c r="E46" s="557">
        <v>54102</v>
      </c>
      <c r="F46" s="557">
        <v>59102</v>
      </c>
      <c r="G46" s="557">
        <v>61102</v>
      </c>
      <c r="H46" s="557">
        <v>88102</v>
      </c>
      <c r="I46" s="557">
        <v>59102</v>
      </c>
      <c r="J46" s="557">
        <v>63102</v>
      </c>
      <c r="K46" s="557">
        <v>71102</v>
      </c>
      <c r="L46" s="557">
        <v>68102</v>
      </c>
      <c r="M46" s="557">
        <v>61102</v>
      </c>
      <c r="N46" s="557">
        <f t="shared" si="11"/>
        <v>19402.020000000019</v>
      </c>
      <c r="O46" s="557"/>
      <c r="P46" s="557">
        <f>'[2]B2-FinPerf SC'!K47</f>
        <v>711052.02</v>
      </c>
      <c r="Q46" s="159">
        <f>'[2]B2-FinPerf SC'!L47</f>
        <v>802836.49385348998</v>
      </c>
      <c r="R46" s="159">
        <f>'[2]B2-FinPerf SC'!M47</f>
        <v>857568.71192217781</v>
      </c>
    </row>
    <row r="47" spans="1:18" ht="30.6" x14ac:dyDescent="0.2">
      <c r="A47" s="275" t="str">
        <f t="shared" si="9"/>
        <v>Waste management</v>
      </c>
      <c r="C47" s="46">
        <v>300173</v>
      </c>
      <c r="D47" s="46">
        <v>123169</v>
      </c>
      <c r="E47" s="46">
        <v>123169</v>
      </c>
      <c r="F47" s="46">
        <v>325575</v>
      </c>
      <c r="G47" s="46">
        <v>339485</v>
      </c>
      <c r="H47" s="46">
        <v>454724</v>
      </c>
      <c r="I47" s="46">
        <v>345256</v>
      </c>
      <c r="J47" s="46">
        <v>576854</v>
      </c>
      <c r="K47" s="46">
        <v>745962</v>
      </c>
      <c r="L47" s="46">
        <v>832415</v>
      </c>
      <c r="M47" s="46">
        <v>652475</v>
      </c>
      <c r="N47" s="160">
        <f t="shared" si="11"/>
        <v>2597364.5300000003</v>
      </c>
      <c r="O47" s="160"/>
      <c r="P47" s="160">
        <f>'[2]B2-FinPerf SC'!K48</f>
        <v>7416621.5300000003</v>
      </c>
      <c r="Q47" s="46">
        <f>'[2]B2-FinPerf SC'!L48</f>
        <v>5839885.3272463884</v>
      </c>
      <c r="R47" s="46">
        <f>'[2]B2-FinPerf SC'!M48</f>
        <v>6190587.3803468943</v>
      </c>
    </row>
    <row r="48" spans="1:18" x14ac:dyDescent="0.2">
      <c r="A48" s="267" t="str">
        <f t="shared" si="9"/>
        <v>Other</v>
      </c>
      <c r="N48" s="46">
        <f t="shared" si="11"/>
        <v>0</v>
      </c>
      <c r="P48" s="46">
        <f>'[2]B2-FinPerf SC'!K49</f>
        <v>0</v>
      </c>
      <c r="Q48" s="46">
        <f>'[2]B2-FinPerf SC'!L49</f>
        <v>0</v>
      </c>
      <c r="R48" s="46">
        <f>'[2]B2-FinPerf SC'!M49</f>
        <v>0</v>
      </c>
    </row>
    <row r="49" spans="1:18" ht="40.799999999999997" x14ac:dyDescent="0.2">
      <c r="A49" s="267" t="s">
        <v>923</v>
      </c>
      <c r="C49" s="46">
        <f>C29+C33+C39+C43+C48</f>
        <v>24026668</v>
      </c>
      <c r="D49" s="46">
        <f>D29+D33+D39+D43+D48</f>
        <v>27356227</v>
      </c>
      <c r="E49" s="46">
        <f>E29+E33+E39+E43+E48</f>
        <v>23656445</v>
      </c>
      <c r="F49" s="46">
        <f t="shared" ref="F49:R49" si="16">F29+F33+F39+F43+F48</f>
        <v>26775695</v>
      </c>
      <c r="G49" s="46">
        <f t="shared" si="16"/>
        <v>28245600</v>
      </c>
      <c r="H49" s="46">
        <f t="shared" si="16"/>
        <v>38598818</v>
      </c>
      <c r="I49" s="46">
        <f t="shared" si="16"/>
        <v>22995048</v>
      </c>
      <c r="J49" s="46">
        <f t="shared" si="16"/>
        <v>21723827</v>
      </c>
      <c r="K49" s="46">
        <f t="shared" si="16"/>
        <v>22876055</v>
      </c>
      <c r="L49" s="46">
        <f t="shared" si="16"/>
        <v>22847986</v>
      </c>
      <c r="M49" s="46">
        <f>M29+M33+M39+M43+M48</f>
        <v>20646980</v>
      </c>
      <c r="N49" s="46">
        <f t="shared" si="16"/>
        <v>29386837.96999998</v>
      </c>
      <c r="O49" s="46">
        <f t="shared" si="16"/>
        <v>240397732.76999998</v>
      </c>
      <c r="P49" s="46">
        <f t="shared" si="16"/>
        <v>309136186.96999997</v>
      </c>
      <c r="Q49" s="46">
        <f t="shared" si="16"/>
        <v>297153951.92916209</v>
      </c>
      <c r="R49" s="46">
        <f t="shared" si="16"/>
        <v>314973005.58452499</v>
      </c>
    </row>
    <row r="51" spans="1:18" ht="20.399999999999999" x14ac:dyDescent="0.2">
      <c r="A51" s="267" t="s">
        <v>924</v>
      </c>
      <c r="C51" s="46">
        <f t="shared" ref="C51:R51" si="17">C26-C49</f>
        <v>98106603.170000002</v>
      </c>
      <c r="D51" s="46">
        <f t="shared" si="17"/>
        <v>-22874837</v>
      </c>
      <c r="E51" s="46">
        <f t="shared" si="17"/>
        <v>40432559</v>
      </c>
      <c r="F51" s="46">
        <f t="shared" si="17"/>
        <v>-20237424</v>
      </c>
      <c r="G51" s="46">
        <f t="shared" si="17"/>
        <v>-20842466</v>
      </c>
      <c r="H51" s="46">
        <f t="shared" si="17"/>
        <v>62664671</v>
      </c>
      <c r="I51" s="46">
        <f t="shared" si="17"/>
        <v>-17772297</v>
      </c>
      <c r="J51" s="46">
        <f t="shared" si="17"/>
        <v>-15617659</v>
      </c>
      <c r="K51" s="46">
        <f t="shared" si="17"/>
        <v>53953455</v>
      </c>
      <c r="L51" s="46">
        <f t="shared" si="17"/>
        <v>-17394333</v>
      </c>
      <c r="M51" s="46">
        <f t="shared" si="17"/>
        <v>-13561597</v>
      </c>
      <c r="N51" s="46">
        <f t="shared" si="17"/>
        <v>-10149164.79784001</v>
      </c>
      <c r="O51" s="46">
        <f t="shared" si="17"/>
        <v>185445964.57216001</v>
      </c>
      <c r="P51" s="46">
        <f t="shared" si="17"/>
        <v>116707510.37216002</v>
      </c>
      <c r="Q51" s="46">
        <f t="shared" si="17"/>
        <v>143493172.35144275</v>
      </c>
      <c r="R51" s="46">
        <f t="shared" si="17"/>
        <v>155956111.40723217</v>
      </c>
    </row>
    <row r="52" spans="1:18" x14ac:dyDescent="0.2">
      <c r="A52" s="267">
        <f>head27a</f>
        <v>0</v>
      </c>
    </row>
    <row r="53" spans="1:18" ht="112.2" x14ac:dyDescent="0.2">
      <c r="A53" s="267" t="s">
        <v>925</v>
      </c>
    </row>
  </sheetData>
  <mergeCells count="4">
    <mergeCell ref="B2:M2"/>
    <mergeCell ref="A1:P1"/>
    <mergeCell ref="A46:P46"/>
    <mergeCell ref="P2:R2"/>
  </mergeCells>
  <pageMargins left="0.7" right="0.7" top="0.75" bottom="0.75" header="0.3" footer="0.3"/>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45"/>
  <sheetViews>
    <sheetView view="pageBreakPreview" zoomScale="60" zoomScaleNormal="100" workbookViewId="0">
      <selection activeCell="AE27" sqref="AE27"/>
    </sheetView>
  </sheetViews>
  <sheetFormatPr defaultColWidth="9.109375" defaultRowHeight="10.199999999999999" x14ac:dyDescent="0.2"/>
  <cols>
    <col min="1" max="1" width="9.33203125" style="46" customWidth="1"/>
    <col min="2" max="8" width="8.33203125" style="46" customWidth="1"/>
    <col min="9" max="9" width="7.6640625" style="46" customWidth="1"/>
    <col min="10" max="10" width="8.33203125" style="46" customWidth="1"/>
    <col min="11" max="11" width="7.88671875" style="46" customWidth="1"/>
    <col min="12" max="12" width="7.33203125" style="46" customWidth="1"/>
    <col min="13" max="13" width="6.88671875" style="46" customWidth="1"/>
    <col min="14" max="14" width="9.33203125" style="46" customWidth="1"/>
    <col min="15" max="15" width="9.88671875" style="46" customWidth="1"/>
    <col min="16" max="16" width="9.33203125" style="46" customWidth="1"/>
    <col min="17" max="16384" width="9.109375" style="46"/>
  </cols>
  <sheetData>
    <row r="1" spans="1:18" ht="13.8" x14ac:dyDescent="0.3">
      <c r="A1" s="133" t="s">
        <v>930</v>
      </c>
      <c r="B1" s="133"/>
      <c r="C1" s="133"/>
      <c r="D1" s="133"/>
      <c r="E1" s="133"/>
      <c r="F1" s="133"/>
      <c r="G1" s="133"/>
      <c r="H1" s="133"/>
      <c r="I1" s="133"/>
      <c r="J1" s="133"/>
      <c r="K1" s="133"/>
      <c r="L1" s="133"/>
      <c r="M1" s="133"/>
      <c r="N1" s="133"/>
      <c r="O1" s="133"/>
      <c r="P1" s="133"/>
    </row>
    <row r="2" spans="1:18" ht="20.399999999999999" customHeight="1" x14ac:dyDescent="0.2">
      <c r="A2" s="134" t="s">
        <v>905</v>
      </c>
      <c r="B2" s="555" t="s">
        <v>910</v>
      </c>
      <c r="C2" s="556"/>
      <c r="D2" s="556"/>
      <c r="E2" s="556"/>
      <c r="F2" s="556"/>
      <c r="G2" s="556"/>
      <c r="H2" s="556"/>
      <c r="I2" s="556"/>
      <c r="J2" s="556"/>
      <c r="K2" s="556"/>
      <c r="L2" s="556"/>
      <c r="M2" s="556"/>
      <c r="N2" s="432"/>
      <c r="O2" s="433"/>
      <c r="P2" s="551" t="s">
        <v>434</v>
      </c>
      <c r="Q2" s="551"/>
      <c r="R2" s="551"/>
    </row>
    <row r="3" spans="1:18" ht="20.399999999999999" x14ac:dyDescent="0.2">
      <c r="A3" s="135"/>
      <c r="B3" s="136"/>
      <c r="C3" s="137" t="s">
        <v>435</v>
      </c>
      <c r="D3" s="137" t="s">
        <v>436</v>
      </c>
      <c r="E3" s="137" t="s">
        <v>437</v>
      </c>
      <c r="F3" s="137" t="s">
        <v>438</v>
      </c>
      <c r="G3" s="137" t="s">
        <v>439</v>
      </c>
      <c r="H3" s="137" t="s">
        <v>440</v>
      </c>
      <c r="I3" s="137" t="s">
        <v>441</v>
      </c>
      <c r="J3" s="137" t="s">
        <v>442</v>
      </c>
      <c r="K3" s="137" t="s">
        <v>443</v>
      </c>
      <c r="L3" s="137" t="s">
        <v>444</v>
      </c>
      <c r="M3" s="178" t="s">
        <v>445</v>
      </c>
      <c r="N3" s="136" t="s">
        <v>446</v>
      </c>
      <c r="O3" s="139" t="s">
        <v>915</v>
      </c>
      <c r="P3" s="138" t="s">
        <v>910</v>
      </c>
      <c r="Q3" s="519" t="s">
        <v>908</v>
      </c>
      <c r="R3" s="519" t="s">
        <v>909</v>
      </c>
    </row>
    <row r="4" spans="1:18" ht="20.399999999999999" x14ac:dyDescent="0.2">
      <c r="A4" s="93" t="s">
        <v>872</v>
      </c>
      <c r="B4" s="150"/>
      <c r="C4" s="528" t="s">
        <v>918</v>
      </c>
      <c r="D4" s="528" t="s">
        <v>918</v>
      </c>
      <c r="E4" s="528" t="s">
        <v>918</v>
      </c>
      <c r="F4" s="528" t="s">
        <v>918</v>
      </c>
      <c r="G4" s="528" t="s">
        <v>918</v>
      </c>
      <c r="H4" s="528" t="s">
        <v>918</v>
      </c>
      <c r="I4" s="528" t="s">
        <v>804</v>
      </c>
      <c r="J4" s="528" t="s">
        <v>804</v>
      </c>
      <c r="K4" s="528" t="s">
        <v>804</v>
      </c>
      <c r="L4" s="528" t="s">
        <v>804</v>
      </c>
      <c r="M4" s="529" t="s">
        <v>804</v>
      </c>
      <c r="N4" s="530" t="s">
        <v>804</v>
      </c>
      <c r="O4" s="528"/>
      <c r="P4" s="531" t="s">
        <v>804</v>
      </c>
      <c r="Q4" s="519" t="s">
        <v>804</v>
      </c>
      <c r="R4" s="519" t="s">
        <v>804</v>
      </c>
    </row>
    <row r="5" spans="1:18" ht="12.75" customHeight="1" x14ac:dyDescent="0.2">
      <c r="A5" s="254" t="s">
        <v>392</v>
      </c>
      <c r="B5" s="145"/>
      <c r="C5" s="67"/>
      <c r="D5" s="67"/>
      <c r="E5" s="67"/>
      <c r="F5" s="67"/>
      <c r="G5" s="67"/>
      <c r="H5" s="67"/>
      <c r="I5" s="67"/>
      <c r="J5" s="67"/>
      <c r="K5" s="67"/>
      <c r="L5" s="67"/>
      <c r="M5" s="183"/>
      <c r="N5" s="150"/>
      <c r="O5" s="52"/>
      <c r="P5" s="146"/>
    </row>
    <row r="6" spans="1:18" ht="12.75" customHeight="1" x14ac:dyDescent="0.2">
      <c r="A6" s="254" t="s">
        <v>393</v>
      </c>
      <c r="B6" s="145"/>
      <c r="C6" s="67">
        <v>556390</v>
      </c>
      <c r="D6" s="67">
        <v>421617</v>
      </c>
      <c r="E6" s="67">
        <v>1646279</v>
      </c>
      <c r="F6" s="67">
        <v>1864952</v>
      </c>
      <c r="G6" s="67">
        <v>1742865</v>
      </c>
      <c r="H6" s="67">
        <v>1624856</v>
      </c>
      <c r="I6" s="67">
        <v>1579514</v>
      </c>
      <c r="J6" s="67">
        <v>1689523</v>
      </c>
      <c r="K6" s="67">
        <v>1799654</v>
      </c>
      <c r="L6" s="67">
        <v>1556985</v>
      </c>
      <c r="M6" s="183">
        <v>1539853</v>
      </c>
      <c r="N6" s="150">
        <f t="shared" ref="N6:N21" si="0">P6-SUM(C6:M6)</f>
        <v>1717690</v>
      </c>
      <c r="O6" s="52">
        <f t="shared" ref="O6:O21" si="1">SUM(C6:N6)</f>
        <v>17740178</v>
      </c>
      <c r="P6" s="146">
        <f>'[2]B4-FinPerf RE'!K7</f>
        <v>17740178</v>
      </c>
      <c r="Q6" s="46">
        <f>'[2]B4-FinPerf RE'!L7</f>
        <v>18698148</v>
      </c>
      <c r="R6" s="46">
        <f>'[2]B4-FinPerf RE'!M7</f>
        <v>19707848</v>
      </c>
    </row>
    <row r="7" spans="1:18" ht="12.75" customHeight="1" x14ac:dyDescent="0.2">
      <c r="A7" s="254" t="s">
        <v>394</v>
      </c>
      <c r="B7" s="145"/>
      <c r="C7" s="67">
        <v>736750</v>
      </c>
      <c r="D7" s="67">
        <v>412685</v>
      </c>
      <c r="E7" s="67">
        <v>485047</v>
      </c>
      <c r="F7" s="67">
        <v>898789</v>
      </c>
      <c r="G7" s="67">
        <v>974325</v>
      </c>
      <c r="H7" s="67">
        <v>1362577</v>
      </c>
      <c r="I7" s="67">
        <v>987963</v>
      </c>
      <c r="J7" s="67">
        <v>889756</v>
      </c>
      <c r="K7" s="67">
        <v>945982</v>
      </c>
      <c r="L7" s="67">
        <v>1422724</v>
      </c>
      <c r="M7" s="183">
        <v>1898757</v>
      </c>
      <c r="N7" s="150">
        <f t="shared" si="0"/>
        <v>3260170.9669599999</v>
      </c>
      <c r="O7" s="52">
        <f t="shared" si="1"/>
        <v>14275525.96696</v>
      </c>
      <c r="P7" s="146">
        <f>'[2]B4-FinPerf RE'!K8</f>
        <v>14275525.96696</v>
      </c>
      <c r="Q7" s="46">
        <f>'[2]B4-FinPerf RE'!L8</f>
        <v>13554102</v>
      </c>
      <c r="R7" s="46">
        <f>'[2]B4-FinPerf RE'!M8</f>
        <v>14286022</v>
      </c>
    </row>
    <row r="8" spans="1:18" ht="12.75" customHeight="1" x14ac:dyDescent="0.2">
      <c r="A8" s="254" t="s">
        <v>395</v>
      </c>
      <c r="B8" s="145"/>
      <c r="C8" s="67"/>
      <c r="D8" s="67"/>
      <c r="E8" s="67"/>
      <c r="F8" s="67"/>
      <c r="G8" s="67"/>
      <c r="H8" s="67"/>
      <c r="I8" s="67"/>
      <c r="J8" s="67"/>
      <c r="K8" s="67"/>
      <c r="L8" s="67"/>
      <c r="M8" s="183"/>
      <c r="N8" s="150">
        <f t="shared" si="0"/>
        <v>0</v>
      </c>
      <c r="O8" s="52">
        <f t="shared" si="1"/>
        <v>0</v>
      </c>
      <c r="P8" s="146">
        <f>'[2]B4-FinPerf RE'!K9</f>
        <v>0</v>
      </c>
      <c r="Q8" s="46">
        <f>'[2]B4-FinPerf RE'!L9</f>
        <v>0</v>
      </c>
      <c r="R8" s="46">
        <f>'[2]B4-FinPerf RE'!M9</f>
        <v>0</v>
      </c>
    </row>
    <row r="9" spans="1:18" ht="12.75" customHeight="1" x14ac:dyDescent="0.2">
      <c r="A9" s="254" t="s">
        <v>396</v>
      </c>
      <c r="B9" s="145"/>
      <c r="C9" s="67"/>
      <c r="D9" s="67"/>
      <c r="E9" s="67"/>
      <c r="F9" s="67"/>
      <c r="G9" s="67"/>
      <c r="H9" s="67"/>
      <c r="I9" s="67"/>
      <c r="J9" s="67"/>
      <c r="K9" s="67"/>
      <c r="L9" s="67"/>
      <c r="M9" s="183"/>
      <c r="N9" s="150">
        <f t="shared" si="0"/>
        <v>0</v>
      </c>
      <c r="O9" s="52">
        <f t="shared" si="1"/>
        <v>0</v>
      </c>
      <c r="P9" s="146">
        <f>'[2]B4-FinPerf RE'!K10</f>
        <v>0</v>
      </c>
      <c r="Q9" s="46">
        <f>'[2]B4-FinPerf RE'!L10</f>
        <v>0</v>
      </c>
      <c r="R9" s="46">
        <f>'[2]B4-FinPerf RE'!M10</f>
        <v>0</v>
      </c>
    </row>
    <row r="10" spans="1:18" ht="12.75" customHeight="1" x14ac:dyDescent="0.2">
      <c r="A10" s="254" t="s">
        <v>926</v>
      </c>
      <c r="B10" s="145"/>
      <c r="C10" s="67">
        <v>55860</v>
      </c>
      <c r="D10" s="67">
        <v>72773</v>
      </c>
      <c r="E10" s="67">
        <v>139385</v>
      </c>
      <c r="F10" s="67">
        <v>836542</v>
      </c>
      <c r="G10" s="67">
        <v>735752</v>
      </c>
      <c r="H10" s="67">
        <v>736522</v>
      </c>
      <c r="I10" s="67">
        <v>802354</v>
      </c>
      <c r="J10" s="67">
        <v>685625</v>
      </c>
      <c r="K10" s="67">
        <v>634586</v>
      </c>
      <c r="L10" s="67">
        <v>586425</v>
      </c>
      <c r="M10" s="183">
        <v>522462</v>
      </c>
      <c r="N10" s="150">
        <f t="shared" si="0"/>
        <v>863766.99999999907</v>
      </c>
      <c r="O10" s="52">
        <f t="shared" si="1"/>
        <v>6672052.9999999991</v>
      </c>
      <c r="P10" s="146">
        <f>'[2]B4-FinPerf RE'!K11</f>
        <v>6672052.9999999991</v>
      </c>
      <c r="Q10" s="46">
        <f>'[2]B4-FinPerf RE'!L11</f>
        <v>7032344</v>
      </c>
      <c r="R10" s="46">
        <f>'[2]B4-FinPerf RE'!M11</f>
        <v>7412091</v>
      </c>
    </row>
    <row r="11" spans="1:18" ht="12.75" customHeight="1" x14ac:dyDescent="0.2">
      <c r="A11" s="254"/>
      <c r="B11" s="145"/>
      <c r="C11" s="67"/>
      <c r="D11" s="67"/>
      <c r="E11" s="67"/>
      <c r="F11" s="67"/>
      <c r="G11" s="67"/>
      <c r="H11" s="67"/>
      <c r="I11" s="67"/>
      <c r="J11" s="67"/>
      <c r="K11" s="67"/>
      <c r="L11" s="67"/>
      <c r="M11" s="183"/>
      <c r="N11" s="150"/>
      <c r="O11" s="52"/>
      <c r="P11" s="146"/>
    </row>
    <row r="12" spans="1:18" ht="12.75" customHeight="1" x14ac:dyDescent="0.2">
      <c r="A12" s="254" t="s">
        <v>398</v>
      </c>
      <c r="B12" s="145"/>
      <c r="C12" s="67">
        <v>10087</v>
      </c>
      <c r="D12" s="67">
        <v>4011</v>
      </c>
      <c r="E12" s="67">
        <v>7422</v>
      </c>
      <c r="F12" s="67">
        <v>17347</v>
      </c>
      <c r="G12" s="67">
        <v>14135</v>
      </c>
      <c r="H12" s="67">
        <v>15874</v>
      </c>
      <c r="I12" s="67">
        <v>14632</v>
      </c>
      <c r="J12" s="67">
        <v>12895</v>
      </c>
      <c r="K12" s="67">
        <v>15965</v>
      </c>
      <c r="L12" s="67">
        <v>13657</v>
      </c>
      <c r="M12" s="183">
        <v>9931</v>
      </c>
      <c r="N12" s="150">
        <f t="shared" si="0"/>
        <v>14043.745959999971</v>
      </c>
      <c r="O12" s="52">
        <f t="shared" si="1"/>
        <v>149999.74595999997</v>
      </c>
      <c r="P12" s="146">
        <f>'[2]B4-FinPerf RE'!K13</f>
        <v>149999.74595999997</v>
      </c>
      <c r="Q12" s="46">
        <f>'[2]B4-FinPerf RE'!L13</f>
        <v>158100</v>
      </c>
      <c r="R12" s="46">
        <f>'[2]B4-FinPerf RE'!M13</f>
        <v>166637.4</v>
      </c>
    </row>
    <row r="13" spans="1:18" ht="13.95" customHeight="1" x14ac:dyDescent="0.2">
      <c r="A13" s="254" t="s">
        <v>399</v>
      </c>
      <c r="B13" s="145"/>
      <c r="C13" s="67"/>
      <c r="D13" s="67"/>
      <c r="E13" s="67">
        <v>32916</v>
      </c>
      <c r="F13" s="67">
        <v>12833</v>
      </c>
      <c r="G13" s="67">
        <v>11235</v>
      </c>
      <c r="H13" s="67">
        <v>13985</v>
      </c>
      <c r="I13" s="67">
        <v>11250</v>
      </c>
      <c r="J13" s="67">
        <v>11799</v>
      </c>
      <c r="K13" s="67">
        <v>9459</v>
      </c>
      <c r="L13" s="67">
        <v>5345</v>
      </c>
      <c r="M13" s="183">
        <v>7539</v>
      </c>
      <c r="N13" s="150">
        <f t="shared" si="0"/>
        <v>-36361.242879999802</v>
      </c>
      <c r="O13" s="52">
        <f t="shared" si="1"/>
        <v>79999.757120000198</v>
      </c>
      <c r="P13" s="146">
        <f>'[2]B4-FinPerf RE'!K14</f>
        <v>79999.757120000198</v>
      </c>
      <c r="Q13" s="46">
        <f>'[2]B4-FinPerf RE'!L14</f>
        <v>128588</v>
      </c>
      <c r="R13" s="46">
        <f>'[2]B4-FinPerf RE'!M14</f>
        <v>135531.75200000001</v>
      </c>
    </row>
    <row r="14" spans="1:18" ht="12.75" customHeight="1" x14ac:dyDescent="0.2">
      <c r="A14" s="254" t="s">
        <v>400</v>
      </c>
      <c r="B14" s="145"/>
      <c r="C14" s="67">
        <v>1289780</v>
      </c>
      <c r="D14" s="67">
        <v>1291620</v>
      </c>
      <c r="E14" s="67">
        <v>2582696</v>
      </c>
      <c r="F14" s="67">
        <v>500123</v>
      </c>
      <c r="G14" s="67">
        <v>512369</v>
      </c>
      <c r="H14" s="67">
        <v>562555</v>
      </c>
      <c r="I14" s="67">
        <v>579523</v>
      </c>
      <c r="J14" s="67">
        <v>522365</v>
      </c>
      <c r="K14" s="67">
        <v>567542</v>
      </c>
      <c r="L14" s="67">
        <v>586234</v>
      </c>
      <c r="M14" s="183">
        <v>610358</v>
      </c>
      <c r="N14" s="150">
        <f t="shared" si="0"/>
        <v>622325.75995999947</v>
      </c>
      <c r="O14" s="52">
        <f t="shared" si="1"/>
        <v>10227490.759959999</v>
      </c>
      <c r="P14" s="146">
        <f>'[2]B4-FinPerf RE'!K15</f>
        <v>10227490.759959999</v>
      </c>
      <c r="Q14" s="46">
        <f>'[2]B4-FinPerf RE'!L15</f>
        <v>10779775.514</v>
      </c>
      <c r="R14" s="46">
        <f>'[2]B4-FinPerf RE'!M15</f>
        <v>11361883.391756</v>
      </c>
    </row>
    <row r="15" spans="1:18" ht="12.75" customHeight="1" x14ac:dyDescent="0.2">
      <c r="A15" s="254" t="s">
        <v>401</v>
      </c>
      <c r="B15" s="145"/>
      <c r="C15" s="67"/>
      <c r="D15" s="67"/>
      <c r="E15" s="67"/>
      <c r="F15" s="67"/>
      <c r="G15" s="67"/>
      <c r="H15" s="67"/>
      <c r="I15" s="67"/>
      <c r="J15" s="67"/>
      <c r="K15" s="67"/>
      <c r="L15" s="67"/>
      <c r="M15" s="183"/>
      <c r="N15" s="150">
        <f t="shared" si="0"/>
        <v>0</v>
      </c>
      <c r="O15" s="52">
        <f t="shared" si="1"/>
        <v>0</v>
      </c>
      <c r="P15" s="146">
        <f>'[2]B4-FinPerf RE'!K16</f>
        <v>0</v>
      </c>
      <c r="Q15" s="46">
        <f>'[2]B4-FinPerf RE'!L16</f>
        <v>0</v>
      </c>
      <c r="R15" s="46">
        <f>'[2]B4-FinPerf RE'!M16</f>
        <v>0</v>
      </c>
    </row>
    <row r="16" spans="1:18" ht="12.75" customHeight="1" x14ac:dyDescent="0.2">
      <c r="A16" s="254" t="s">
        <v>402</v>
      </c>
      <c r="B16" s="145"/>
      <c r="C16" s="67">
        <v>9028</v>
      </c>
      <c r="D16" s="67">
        <v>7750</v>
      </c>
      <c r="E16" s="67">
        <v>8264</v>
      </c>
      <c r="F16" s="67">
        <v>8975</v>
      </c>
      <c r="G16" s="67">
        <v>10267</v>
      </c>
      <c r="H16" s="67">
        <v>12347</v>
      </c>
      <c r="I16" s="67">
        <v>11348</v>
      </c>
      <c r="J16" s="67">
        <v>7123</v>
      </c>
      <c r="K16" s="67">
        <v>9275</v>
      </c>
      <c r="L16" s="67">
        <v>7228</v>
      </c>
      <c r="M16" s="183">
        <v>6347</v>
      </c>
      <c r="N16" s="150">
        <f t="shared" si="0"/>
        <v>-15382</v>
      </c>
      <c r="O16" s="52">
        <f t="shared" si="1"/>
        <v>82570</v>
      </c>
      <c r="P16" s="146">
        <f>'[2]B4-FinPerf RE'!K17</f>
        <v>82570</v>
      </c>
      <c r="Q16" s="46">
        <f>'[2]B4-FinPerf RE'!L17</f>
        <v>109723.508</v>
      </c>
      <c r="R16" s="46">
        <f>'[2]B4-FinPerf RE'!M17</f>
        <v>115648.57743200001</v>
      </c>
    </row>
    <row r="17" spans="1:18" ht="12.75" customHeight="1" x14ac:dyDescent="0.2">
      <c r="A17" s="254" t="s">
        <v>403</v>
      </c>
      <c r="B17" s="145"/>
      <c r="C17" s="67">
        <v>1732779</v>
      </c>
      <c r="D17" s="67"/>
      <c r="E17" s="67">
        <v>1529499</v>
      </c>
      <c r="F17" s="67">
        <v>1325477</v>
      </c>
      <c r="G17" s="67">
        <v>1412157</v>
      </c>
      <c r="H17" s="67">
        <v>1232682</v>
      </c>
      <c r="I17" s="67">
        <v>1179562</v>
      </c>
      <c r="J17" s="67">
        <v>1341367</v>
      </c>
      <c r="K17" s="67">
        <v>1002452</v>
      </c>
      <c r="L17" s="67">
        <v>1034854</v>
      </c>
      <c r="M17" s="183">
        <v>1106750</v>
      </c>
      <c r="N17" s="150">
        <f t="shared" si="0"/>
        <v>2026684.7599999998</v>
      </c>
      <c r="O17" s="52">
        <f t="shared" si="1"/>
        <v>14924263.76</v>
      </c>
      <c r="P17" s="146">
        <f>'[2]B4-FinPerf RE'!K18</f>
        <v>14924263.76</v>
      </c>
      <c r="Q17" s="46">
        <f>'[2]B4-FinPerf RE'!L18</f>
        <v>14613314.624869101</v>
      </c>
      <c r="R17" s="46">
        <f>'[2]B4-FinPerf RE'!M18</f>
        <v>15402433.614612101</v>
      </c>
    </row>
    <row r="18" spans="1:18" ht="12.75" customHeight="1" x14ac:dyDescent="0.2">
      <c r="A18" s="254" t="s">
        <v>404</v>
      </c>
      <c r="B18" s="145"/>
      <c r="C18" s="67">
        <v>0</v>
      </c>
      <c r="D18" s="67">
        <v>0</v>
      </c>
      <c r="E18" s="67">
        <v>0</v>
      </c>
      <c r="F18" s="67">
        <v>668103</v>
      </c>
      <c r="G18" s="67">
        <v>200698</v>
      </c>
      <c r="H18" s="67">
        <v>220947</v>
      </c>
      <c r="I18" s="67">
        <v>199468</v>
      </c>
      <c r="J18" s="67">
        <v>203857</v>
      </c>
      <c r="K18" s="67">
        <v>188924</v>
      </c>
      <c r="L18" s="67">
        <v>197675</v>
      </c>
      <c r="M18" s="183">
        <v>203441</v>
      </c>
      <c r="N18" s="150">
        <f t="shared" si="0"/>
        <v>678727.29999999981</v>
      </c>
      <c r="O18" s="52">
        <f t="shared" si="1"/>
        <v>2761840.3</v>
      </c>
      <c r="P18" s="146">
        <f>'[2]B4-FinPerf RE'!K19</f>
        <v>2761840.3</v>
      </c>
      <c r="Q18" s="46">
        <f>'[2]B4-FinPerf RE'!L19</f>
        <v>2412782.0972186401</v>
      </c>
      <c r="R18" s="46">
        <f>'[2]B4-FinPerf RE'!M19</f>
        <v>2543072.3304684502</v>
      </c>
    </row>
    <row r="19" spans="1:18" ht="12.75" customHeight="1" x14ac:dyDescent="0.2">
      <c r="A19" s="254" t="s">
        <v>405</v>
      </c>
      <c r="B19" s="145"/>
      <c r="C19" s="67">
        <v>115980667</v>
      </c>
      <c r="D19" s="67">
        <v>6087000</v>
      </c>
      <c r="E19" s="67"/>
      <c r="F19" s="67"/>
      <c r="G19" s="67"/>
      <c r="H19" s="67">
        <v>92752000</v>
      </c>
      <c r="I19" s="67"/>
      <c r="J19" s="67"/>
      <c r="K19" s="67">
        <v>71804000</v>
      </c>
      <c r="L19" s="67"/>
      <c r="M19" s="183">
        <v>298000</v>
      </c>
      <c r="N19" s="150">
        <f t="shared" si="0"/>
        <v>333</v>
      </c>
      <c r="O19" s="52">
        <f t="shared" si="1"/>
        <v>286922000</v>
      </c>
      <c r="P19" s="146">
        <f>'[2]B4-FinPerf RE'!K20</f>
        <v>286922000</v>
      </c>
      <c r="Q19" s="46">
        <f>'[2]B4-FinPerf RE'!L20</f>
        <v>300105000</v>
      </c>
      <c r="R19" s="46">
        <f>'[2]B4-FinPerf RE'!M20</f>
        <v>321890000</v>
      </c>
    </row>
    <row r="20" spans="1:18" ht="12.75" customHeight="1" x14ac:dyDescent="0.2">
      <c r="A20" s="56" t="s">
        <v>406</v>
      </c>
      <c r="B20" s="214"/>
      <c r="C20" s="78">
        <v>664328</v>
      </c>
      <c r="D20" s="78">
        <v>140013</v>
      </c>
      <c r="E20" s="78">
        <v>176807</v>
      </c>
      <c r="F20" s="78">
        <v>301467</v>
      </c>
      <c r="G20" s="78">
        <v>402357</v>
      </c>
      <c r="H20" s="78">
        <v>354765</v>
      </c>
      <c r="I20" s="78">
        <v>433295</v>
      </c>
      <c r="J20" s="78">
        <v>379248</v>
      </c>
      <c r="K20" s="78">
        <v>500547</v>
      </c>
      <c r="L20" s="78">
        <v>385634</v>
      </c>
      <c r="M20" s="213">
        <v>344328</v>
      </c>
      <c r="N20" s="214">
        <f t="shared" si="0"/>
        <v>5424983.0521599986</v>
      </c>
      <c r="O20" s="78">
        <f t="shared" si="1"/>
        <v>9507772.0521599986</v>
      </c>
      <c r="P20" s="215">
        <f>'[2]B4-FinPerf RE'!K21</f>
        <v>9507772.0521599986</v>
      </c>
      <c r="Q20" s="46">
        <f>'[2]B4-FinPerf RE'!L21</f>
        <v>4332464.6439748798</v>
      </c>
      <c r="R20" s="46">
        <f>'[2]B4-FinPerf RE'!M21</f>
        <v>4883495.2707495205</v>
      </c>
    </row>
    <row r="21" spans="1:18" ht="12.75" customHeight="1" x14ac:dyDescent="0.2">
      <c r="A21" s="255" t="s">
        <v>407</v>
      </c>
      <c r="B21" s="256"/>
      <c r="C21" s="257"/>
      <c r="D21" s="257"/>
      <c r="E21" s="257"/>
      <c r="F21" s="257"/>
      <c r="G21" s="257"/>
      <c r="H21" s="257"/>
      <c r="I21" s="257">
        <v>607004</v>
      </c>
      <c r="J21" s="257"/>
      <c r="K21" s="257"/>
      <c r="L21" s="257"/>
      <c r="M21" s="258"/>
      <c r="N21" s="256">
        <f t="shared" si="0"/>
        <v>0</v>
      </c>
      <c r="O21" s="257">
        <f t="shared" si="1"/>
        <v>607004</v>
      </c>
      <c r="P21" s="259">
        <f>'[2]B4-FinPerf RE'!K22</f>
        <v>607004</v>
      </c>
      <c r="Q21" s="46">
        <f>'[2]B4-FinPerf RE'!L22</f>
        <v>639782.21600000001</v>
      </c>
      <c r="R21" s="46">
        <f>'[2]B4-FinPerf RE'!M22</f>
        <v>674330.45566400001</v>
      </c>
    </row>
    <row r="22" spans="1:18" ht="12.75" customHeight="1" x14ac:dyDescent="0.2">
      <c r="A22" s="93" t="s">
        <v>927</v>
      </c>
      <c r="B22" s="150"/>
      <c r="C22" s="52">
        <f>SUM(C6:C10)+SUM(C12:C21)</f>
        <v>121035669</v>
      </c>
      <c r="D22" s="52">
        <f t="shared" ref="D22:R22" si="2">SUM(D6:D10)+SUM(D12:D21)</f>
        <v>8437469</v>
      </c>
      <c r="E22" s="52">
        <f t="shared" si="2"/>
        <v>6608315</v>
      </c>
      <c r="F22" s="52">
        <f t="shared" si="2"/>
        <v>6434608</v>
      </c>
      <c r="G22" s="52">
        <f t="shared" si="2"/>
        <v>6016160</v>
      </c>
      <c r="H22" s="52">
        <f t="shared" si="2"/>
        <v>98889110</v>
      </c>
      <c r="I22" s="52">
        <f t="shared" si="2"/>
        <v>6405913</v>
      </c>
      <c r="J22" s="52">
        <f t="shared" si="2"/>
        <v>5743558</v>
      </c>
      <c r="K22" s="52">
        <f t="shared" si="2"/>
        <v>77478386</v>
      </c>
      <c r="L22" s="52">
        <f t="shared" si="2"/>
        <v>5796761</v>
      </c>
      <c r="M22" s="183">
        <f t="shared" si="2"/>
        <v>6547766</v>
      </c>
      <c r="N22" s="150">
        <f t="shared" si="2"/>
        <v>14556982.342159998</v>
      </c>
      <c r="O22" s="52">
        <f t="shared" si="2"/>
        <v>363950697.34216005</v>
      </c>
      <c r="P22" s="146">
        <f t="shared" si="2"/>
        <v>363950697.34216005</v>
      </c>
      <c r="Q22" s="46">
        <f t="shared" si="2"/>
        <v>372564124.60406268</v>
      </c>
      <c r="R22" s="46">
        <f t="shared" si="2"/>
        <v>398578993.79268205</v>
      </c>
    </row>
    <row r="23" spans="1:18" ht="12.75" customHeight="1" x14ac:dyDescent="0.2">
      <c r="A23" s="254"/>
      <c r="B23" s="145"/>
      <c r="C23" s="67"/>
      <c r="D23" s="67"/>
      <c r="E23" s="67"/>
      <c r="F23" s="67"/>
      <c r="G23" s="67"/>
      <c r="H23" s="67"/>
      <c r="I23" s="67"/>
      <c r="J23" s="67"/>
      <c r="K23" s="67"/>
      <c r="L23" s="67"/>
      <c r="M23" s="183"/>
      <c r="N23" s="150"/>
      <c r="O23" s="52"/>
      <c r="P23" s="146"/>
    </row>
    <row r="24" spans="1:18" ht="12.75" customHeight="1" x14ac:dyDescent="0.2">
      <c r="A24" s="254" t="s">
        <v>409</v>
      </c>
      <c r="B24" s="151"/>
      <c r="C24" s="185"/>
      <c r="D24" s="185"/>
      <c r="E24" s="185"/>
      <c r="F24" s="185"/>
      <c r="G24" s="185"/>
      <c r="H24" s="185"/>
      <c r="I24" s="185"/>
      <c r="J24" s="185"/>
      <c r="K24" s="185"/>
      <c r="L24" s="185"/>
      <c r="M24" s="183"/>
      <c r="N24" s="150"/>
      <c r="O24" s="52"/>
      <c r="P24" s="146"/>
    </row>
    <row r="25" spans="1:18" ht="12.75" customHeight="1" x14ac:dyDescent="0.2">
      <c r="A25" s="254" t="s">
        <v>410</v>
      </c>
      <c r="B25" s="145"/>
      <c r="C25" s="67">
        <v>8337155</v>
      </c>
      <c r="D25" s="67">
        <v>8510588</v>
      </c>
      <c r="E25" s="67">
        <v>8348301</v>
      </c>
      <c r="F25" s="67">
        <v>8075485</v>
      </c>
      <c r="G25" s="67">
        <v>8310423</v>
      </c>
      <c r="H25" s="67">
        <v>8607411</v>
      </c>
      <c r="I25" s="67">
        <v>8447931</v>
      </c>
      <c r="J25" s="67">
        <v>8175574</v>
      </c>
      <c r="K25" s="67">
        <v>8546256</v>
      </c>
      <c r="L25" s="67">
        <v>8137507</v>
      </c>
      <c r="M25" s="183"/>
      <c r="N25" s="150">
        <f t="shared" ref="N25:N35" si="3">P25-SUM(C25:M25)</f>
        <v>21242564.039999992</v>
      </c>
      <c r="O25" s="52">
        <f t="shared" ref="O25:O35" si="4">SUM(C25:N25)</f>
        <v>104739195.03999999</v>
      </c>
      <c r="P25" s="146">
        <f>'[2]B4-FinPerf RE'!K26</f>
        <v>104739195.03999999</v>
      </c>
      <c r="Q25" s="46">
        <f>'[2]B4-FinPerf RE'!L26</f>
        <v>113743882.14451401</v>
      </c>
      <c r="R25" s="46">
        <f>'[2]B4-FinPerf RE'!M26</f>
        <v>121592209.08348545</v>
      </c>
    </row>
    <row r="26" spans="1:18" ht="12.75" customHeight="1" x14ac:dyDescent="0.2">
      <c r="A26" s="254" t="s">
        <v>411</v>
      </c>
      <c r="B26" s="145"/>
      <c r="C26" s="67">
        <v>1796335</v>
      </c>
      <c r="D26" s="67">
        <v>1821564</v>
      </c>
      <c r="E26" s="67">
        <v>1821564</v>
      </c>
      <c r="F26" s="67">
        <v>1507421</v>
      </c>
      <c r="G26" s="67">
        <v>1846793</v>
      </c>
      <c r="H26" s="67">
        <v>1846793</v>
      </c>
      <c r="I26" s="67">
        <v>1846793</v>
      </c>
      <c r="J26" s="67">
        <v>1846793</v>
      </c>
      <c r="K26" s="67">
        <v>1846793</v>
      </c>
      <c r="L26" s="67">
        <v>1846793</v>
      </c>
      <c r="M26" s="183">
        <v>2269200</v>
      </c>
      <c r="N26" s="150">
        <f t="shared" si="3"/>
        <v>3775059</v>
      </c>
      <c r="O26" s="52">
        <f t="shared" si="4"/>
        <v>24071901</v>
      </c>
      <c r="P26" s="146">
        <f>'[2]B4-FinPerf RE'!K27</f>
        <v>24071901</v>
      </c>
      <c r="Q26" s="46">
        <f>'[2]B4-FinPerf RE'!L27</f>
        <v>25371783.730393924</v>
      </c>
      <c r="R26" s="46">
        <f>'[2]B4-FinPerf RE'!M27</f>
        <v>26741860.051835198</v>
      </c>
    </row>
    <row r="27" spans="1:18" ht="12.75" customHeight="1" x14ac:dyDescent="0.2">
      <c r="A27" s="254" t="s">
        <v>412</v>
      </c>
      <c r="B27" s="145"/>
      <c r="C27" s="67"/>
      <c r="D27" s="67"/>
      <c r="E27" s="67"/>
      <c r="F27" s="67"/>
      <c r="G27" s="67"/>
      <c r="H27" s="67"/>
      <c r="I27" s="67"/>
      <c r="J27" s="67"/>
      <c r="K27" s="67"/>
      <c r="L27" s="67"/>
      <c r="M27" s="183"/>
      <c r="N27" s="150">
        <f t="shared" si="3"/>
        <v>2058364</v>
      </c>
      <c r="O27" s="52">
        <f t="shared" si="4"/>
        <v>2058364</v>
      </c>
      <c r="P27" s="146">
        <f>'[2]B4-FinPerf RE'!K28</f>
        <v>2058364</v>
      </c>
      <c r="Q27" s="46">
        <f>'[2]B4-FinPerf RE'!L28</f>
        <v>2169516.11963352</v>
      </c>
      <c r="R27" s="46">
        <f>'[2]B4-FinPerf RE'!M28</f>
        <v>2286669.9900937304</v>
      </c>
    </row>
    <row r="28" spans="1:18" ht="12.75" customHeight="1" x14ac:dyDescent="0.2">
      <c r="A28" s="254" t="s">
        <v>413</v>
      </c>
      <c r="B28" s="145"/>
      <c r="C28" s="67"/>
      <c r="D28" s="67"/>
      <c r="E28" s="67"/>
      <c r="F28" s="67"/>
      <c r="G28" s="67"/>
      <c r="H28" s="67"/>
      <c r="I28" s="67"/>
      <c r="J28" s="67"/>
      <c r="K28" s="67"/>
      <c r="L28" s="67"/>
      <c r="M28" s="183"/>
      <c r="N28" s="150">
        <f t="shared" si="3"/>
        <v>1888287.5824000007</v>
      </c>
      <c r="O28" s="52">
        <f t="shared" si="4"/>
        <v>1888287.5824000007</v>
      </c>
      <c r="P28" s="146">
        <f>'[2]B4-FinPerf RE'!K29</f>
        <v>1888287.5824000007</v>
      </c>
      <c r="Q28" s="46">
        <f>'[2]B4-FinPerf RE'!L29</f>
        <v>6588771</v>
      </c>
      <c r="R28" s="46">
        <f>'[2]B4-FinPerf RE'!M29</f>
        <v>6944565</v>
      </c>
    </row>
    <row r="29" spans="1:18" ht="12.75" customHeight="1" x14ac:dyDescent="0.2">
      <c r="A29" s="254" t="s">
        <v>414</v>
      </c>
      <c r="B29" s="145"/>
      <c r="C29" s="67"/>
      <c r="D29" s="67"/>
      <c r="E29" s="67"/>
      <c r="F29" s="67"/>
      <c r="G29" s="67"/>
      <c r="H29" s="67"/>
      <c r="I29" s="67"/>
      <c r="J29" s="67"/>
      <c r="K29" s="67"/>
      <c r="L29" s="67"/>
      <c r="M29" s="183"/>
      <c r="N29" s="150">
        <f t="shared" si="3"/>
        <v>0</v>
      </c>
      <c r="O29" s="52">
        <f t="shared" si="4"/>
        <v>0</v>
      </c>
      <c r="P29" s="146">
        <f>'[2]B4-FinPerf RE'!K30</f>
        <v>0</v>
      </c>
      <c r="Q29" s="46">
        <f>'[2]B4-FinPerf RE'!L30</f>
        <v>0</v>
      </c>
      <c r="R29" s="46">
        <f>'[2]B4-FinPerf RE'!M30</f>
        <v>0</v>
      </c>
    </row>
    <row r="30" spans="1:18" x14ac:dyDescent="0.2">
      <c r="A30" s="254" t="s">
        <v>415</v>
      </c>
      <c r="B30" s="145"/>
      <c r="C30" s="67">
        <v>2145680</v>
      </c>
      <c r="D30" s="67">
        <v>2057915</v>
      </c>
      <c r="E30" s="67">
        <v>1370818</v>
      </c>
      <c r="F30" s="67">
        <v>1137675</v>
      </c>
      <c r="G30" s="67">
        <v>0</v>
      </c>
      <c r="H30" s="67">
        <v>2565188</v>
      </c>
      <c r="I30" s="67">
        <v>0</v>
      </c>
      <c r="J30" s="67">
        <v>1011610</v>
      </c>
      <c r="K30" s="67">
        <v>1009871</v>
      </c>
      <c r="L30" s="67">
        <v>968810</v>
      </c>
      <c r="M30" s="183">
        <v>1434057</v>
      </c>
      <c r="N30" s="150">
        <f t="shared" si="3"/>
        <v>4852927.6499999985</v>
      </c>
      <c r="O30" s="52">
        <f t="shared" si="4"/>
        <v>18554551.649999999</v>
      </c>
      <c r="P30" s="146">
        <f>'[2]B4-FinPerf RE'!K31</f>
        <v>18554551.649999999</v>
      </c>
      <c r="Q30" s="46">
        <f>'[2]B4-FinPerf RE'!L31</f>
        <v>18956801</v>
      </c>
      <c r="R30" s="46">
        <f>'[2]B4-FinPerf RE'!M31</f>
        <v>19980468</v>
      </c>
    </row>
    <row r="31" spans="1:18" x14ac:dyDescent="0.2">
      <c r="A31" s="254" t="s">
        <v>416</v>
      </c>
      <c r="B31" s="145"/>
      <c r="C31" s="67"/>
      <c r="D31" s="67"/>
      <c r="E31" s="67"/>
      <c r="F31" s="67"/>
      <c r="G31" s="67"/>
      <c r="H31" s="67"/>
      <c r="I31" s="67"/>
      <c r="J31" s="67"/>
      <c r="K31" s="67"/>
      <c r="L31" s="67"/>
      <c r="M31" s="183"/>
      <c r="N31" s="150">
        <f t="shared" si="3"/>
        <v>0</v>
      </c>
      <c r="O31" s="52">
        <f t="shared" si="4"/>
        <v>0</v>
      </c>
      <c r="P31" s="146">
        <f>'[2]B4-FinPerf RE'!K32</f>
        <v>0</v>
      </c>
      <c r="Q31" s="46">
        <f>'[2]B4-FinPerf RE'!L32</f>
        <v>0</v>
      </c>
      <c r="R31" s="46">
        <f>'[2]B4-FinPerf RE'!M32</f>
        <v>0</v>
      </c>
    </row>
    <row r="32" spans="1:18" x14ac:dyDescent="0.2">
      <c r="A32" s="254" t="s">
        <v>417</v>
      </c>
      <c r="B32" s="145"/>
      <c r="C32" s="67">
        <v>1081615</v>
      </c>
      <c r="D32" s="67">
        <v>3048450</v>
      </c>
      <c r="E32" s="67">
        <v>4179978</v>
      </c>
      <c r="F32" s="67">
        <v>1276519</v>
      </c>
      <c r="G32" s="67">
        <v>2226302</v>
      </c>
      <c r="H32" s="67">
        <v>1693844</v>
      </c>
      <c r="I32" s="67">
        <v>1922507</v>
      </c>
      <c r="J32" s="67">
        <v>2305246</v>
      </c>
      <c r="K32" s="67">
        <v>3202758</v>
      </c>
      <c r="L32" s="67">
        <v>983637</v>
      </c>
      <c r="M32" s="183"/>
      <c r="N32" s="150">
        <f t="shared" si="3"/>
        <v>9388408.1864399984</v>
      </c>
      <c r="O32" s="52">
        <f t="shared" si="4"/>
        <v>31309264.186439998</v>
      </c>
      <c r="P32" s="146">
        <f>'[2]B4-FinPerf RE'!K33</f>
        <v>31309264.186439998</v>
      </c>
      <c r="Q32" s="46">
        <f>'[2]B4-FinPerf RE'!L33</f>
        <v>20510449</v>
      </c>
      <c r="R32" s="46">
        <f>'[2]B4-FinPerf RE'!M33</f>
        <v>21618010</v>
      </c>
    </row>
    <row r="33" spans="1:19" x14ac:dyDescent="0.2">
      <c r="A33" s="254" t="s">
        <v>928</v>
      </c>
      <c r="B33" s="145"/>
      <c r="C33" s="67"/>
      <c r="D33" s="67"/>
      <c r="E33" s="67"/>
      <c r="F33" s="67"/>
      <c r="G33" s="67"/>
      <c r="H33" s="67"/>
      <c r="I33" s="67"/>
      <c r="J33" s="67"/>
      <c r="K33" s="67"/>
      <c r="L33" s="67"/>
      <c r="M33" s="183"/>
      <c r="N33" s="150">
        <f t="shared" si="3"/>
        <v>0</v>
      </c>
      <c r="O33" s="52">
        <f t="shared" si="4"/>
        <v>0</v>
      </c>
      <c r="P33" s="146">
        <f>'[2]B4-FinPerf RE'!K34</f>
        <v>0</v>
      </c>
      <c r="Q33" s="46">
        <f>'[2]B4-FinPerf RE'!L34</f>
        <v>0</v>
      </c>
      <c r="R33" s="46">
        <f>'[2]B4-FinPerf RE'!M34</f>
        <v>0</v>
      </c>
    </row>
    <row r="34" spans="1:19" x14ac:dyDescent="0.2">
      <c r="A34" s="254" t="s">
        <v>418</v>
      </c>
      <c r="B34" s="145"/>
      <c r="C34" s="67">
        <v>11090096</v>
      </c>
      <c r="D34" s="67">
        <v>19059741</v>
      </c>
      <c r="E34" s="67">
        <v>14421277</v>
      </c>
      <c r="F34" s="67">
        <v>7751000</v>
      </c>
      <c r="G34" s="67">
        <v>6570840</v>
      </c>
      <c r="H34" s="67">
        <v>27253441</v>
      </c>
      <c r="I34" s="67">
        <v>9149299</v>
      </c>
      <c r="J34" s="67">
        <v>12849609</v>
      </c>
      <c r="K34" s="67">
        <v>14440564</v>
      </c>
      <c r="L34" s="67">
        <v>2618702</v>
      </c>
      <c r="M34" s="183"/>
      <c r="N34" s="150">
        <f t="shared" si="3"/>
        <v>1311050.7325600982</v>
      </c>
      <c r="O34" s="52">
        <f t="shared" si="4"/>
        <v>126515619.7325601</v>
      </c>
      <c r="P34" s="146">
        <f>'[2]B4-FinPerf RE'!K35</f>
        <v>126515619.7325601</v>
      </c>
      <c r="Q34" s="46">
        <f>'[2]B4-FinPerf RE'!L35</f>
        <v>109812749</v>
      </c>
      <c r="R34" s="46">
        <f>'[2]B4-FinPerf RE'!M35</f>
        <v>115809220</v>
      </c>
    </row>
    <row r="35" spans="1:19" x14ac:dyDescent="0.2">
      <c r="A35" s="254" t="s">
        <v>419</v>
      </c>
      <c r="B35" s="145"/>
      <c r="C35" s="67"/>
      <c r="D35" s="67"/>
      <c r="E35" s="67"/>
      <c r="F35" s="67"/>
      <c r="G35" s="67"/>
      <c r="H35" s="67"/>
      <c r="I35" s="67"/>
      <c r="J35" s="67"/>
      <c r="K35" s="67"/>
      <c r="L35" s="67"/>
      <c r="M35" s="183"/>
      <c r="N35" s="150">
        <f t="shared" si="3"/>
        <v>0</v>
      </c>
      <c r="O35" s="52">
        <f t="shared" si="4"/>
        <v>0</v>
      </c>
      <c r="P35" s="146">
        <f>'[2]B4-FinPerf RE'!K36</f>
        <v>0</v>
      </c>
      <c r="Q35" s="46">
        <f>'[2]B4-FinPerf RE'!L36</f>
        <v>0</v>
      </c>
      <c r="R35" s="46">
        <f>'[2]B4-FinPerf RE'!M36</f>
        <v>0</v>
      </c>
    </row>
    <row r="36" spans="1:19" x14ac:dyDescent="0.2">
      <c r="A36" s="254" t="s">
        <v>420</v>
      </c>
      <c r="B36" s="145"/>
      <c r="C36" s="67">
        <f>SUM(C25:C35)</f>
        <v>24450881</v>
      </c>
      <c r="D36" s="67">
        <f t="shared" ref="D36:R36" si="5">SUM(D25:D35)</f>
        <v>34498258</v>
      </c>
      <c r="E36" s="67">
        <f t="shared" si="5"/>
        <v>30141938</v>
      </c>
      <c r="F36" s="67">
        <f t="shared" si="5"/>
        <v>19748100</v>
      </c>
      <c r="G36" s="67">
        <f t="shared" si="5"/>
        <v>18954358</v>
      </c>
      <c r="H36" s="67">
        <f t="shared" si="5"/>
        <v>41966677</v>
      </c>
      <c r="I36" s="67">
        <f t="shared" si="5"/>
        <v>21366530</v>
      </c>
      <c r="J36" s="67">
        <f t="shared" si="5"/>
        <v>26188832</v>
      </c>
      <c r="K36" s="67">
        <f t="shared" si="5"/>
        <v>29046242</v>
      </c>
      <c r="L36" s="67">
        <f t="shared" si="5"/>
        <v>14555449</v>
      </c>
      <c r="M36" s="183">
        <f t="shared" si="5"/>
        <v>3703257</v>
      </c>
      <c r="N36" s="150">
        <f t="shared" si="5"/>
        <v>44516661.191400088</v>
      </c>
      <c r="O36" s="52">
        <f t="shared" si="5"/>
        <v>309137183.19140005</v>
      </c>
      <c r="P36" s="146">
        <f t="shared" si="5"/>
        <v>309137183.19140005</v>
      </c>
      <c r="Q36" s="46">
        <f t="shared" si="5"/>
        <v>297153951.99454147</v>
      </c>
      <c r="R36" s="46">
        <f t="shared" si="5"/>
        <v>314973002.12541437</v>
      </c>
    </row>
    <row r="37" spans="1:19" x14ac:dyDescent="0.2">
      <c r="A37" s="254"/>
      <c r="B37" s="145"/>
      <c r="C37" s="67"/>
      <c r="D37" s="67"/>
      <c r="E37" s="67"/>
      <c r="F37" s="67"/>
      <c r="G37" s="67"/>
      <c r="H37" s="67"/>
      <c r="I37" s="67"/>
      <c r="J37" s="67"/>
      <c r="K37" s="67"/>
      <c r="L37" s="67"/>
      <c r="M37" s="183"/>
      <c r="N37" s="150"/>
      <c r="O37" s="52"/>
      <c r="P37" s="146"/>
    </row>
    <row r="38" spans="1:19" x14ac:dyDescent="0.2">
      <c r="A38" s="56" t="s">
        <v>421</v>
      </c>
      <c r="B38" s="214"/>
      <c r="C38" s="78">
        <f t="shared" ref="C38:R38" si="6">C22-C36</f>
        <v>96584788</v>
      </c>
      <c r="D38" s="78">
        <f t="shared" si="6"/>
        <v>-26060789</v>
      </c>
      <c r="E38" s="78">
        <f t="shared" si="6"/>
        <v>-23533623</v>
      </c>
      <c r="F38" s="78">
        <f t="shared" si="6"/>
        <v>-13313492</v>
      </c>
      <c r="G38" s="78">
        <f t="shared" si="6"/>
        <v>-12938198</v>
      </c>
      <c r="H38" s="78">
        <f t="shared" si="6"/>
        <v>56922433</v>
      </c>
      <c r="I38" s="78">
        <f t="shared" si="6"/>
        <v>-14960617</v>
      </c>
      <c r="J38" s="78">
        <f t="shared" si="6"/>
        <v>-20445274</v>
      </c>
      <c r="K38" s="78">
        <f t="shared" si="6"/>
        <v>48432144</v>
      </c>
      <c r="L38" s="78">
        <f t="shared" si="6"/>
        <v>-8758688</v>
      </c>
      <c r="M38" s="213">
        <f t="shared" si="6"/>
        <v>2844509</v>
      </c>
      <c r="N38" s="214">
        <f t="shared" si="6"/>
        <v>-29959678.849240091</v>
      </c>
      <c r="O38" s="78">
        <f t="shared" si="6"/>
        <v>54813514.150759995</v>
      </c>
      <c r="P38" s="215">
        <f t="shared" si="6"/>
        <v>54813514.150759995</v>
      </c>
      <c r="Q38" s="46">
        <f t="shared" si="6"/>
        <v>75410172.60952121</v>
      </c>
      <c r="R38" s="46">
        <f t="shared" si="6"/>
        <v>83605991.66726768</v>
      </c>
    </row>
    <row r="39" spans="1:19" ht="81.599999999999994" x14ac:dyDescent="0.2">
      <c r="A39" s="152" t="s">
        <v>422</v>
      </c>
      <c r="B39" s="153"/>
      <c r="C39" s="154">
        <v>5522036</v>
      </c>
      <c r="D39" s="154">
        <v>6329575</v>
      </c>
      <c r="E39" s="154">
        <v>4566904</v>
      </c>
      <c r="F39" s="154">
        <v>3897542</v>
      </c>
      <c r="G39" s="154">
        <v>5612468</v>
      </c>
      <c r="H39" s="154">
        <v>3379512</v>
      </c>
      <c r="I39" s="154">
        <v>2736145</v>
      </c>
      <c r="J39" s="154">
        <v>4436578</v>
      </c>
      <c r="K39" s="154">
        <v>5123547</v>
      </c>
      <c r="L39" s="154">
        <v>4924785</v>
      </c>
      <c r="M39" s="233">
        <v>5789534</v>
      </c>
      <c r="N39" s="153">
        <f>P39-SUM(C39:M39)</f>
        <v>5289374</v>
      </c>
      <c r="O39" s="154"/>
      <c r="P39" s="157">
        <f>'[2]B4-FinPerf RE'!K40</f>
        <v>57608000</v>
      </c>
      <c r="Q39" s="46">
        <f>'[2]B4-FinPerf RE'!L40</f>
        <v>60783000</v>
      </c>
      <c r="R39" s="46">
        <f>'[2]B4-FinPerf RE'!M40</f>
        <v>65351000</v>
      </c>
    </row>
    <row r="40" spans="1:19" ht="193.8" x14ac:dyDescent="0.2">
      <c r="A40" s="260" t="s">
        <v>423</v>
      </c>
      <c r="B40" s="258"/>
      <c r="C40" s="258"/>
      <c r="D40" s="258"/>
      <c r="E40" s="258"/>
      <c r="F40" s="258"/>
      <c r="G40" s="258"/>
      <c r="H40" s="258"/>
      <c r="I40" s="258"/>
      <c r="J40" s="258"/>
      <c r="K40" s="258"/>
      <c r="L40" s="258"/>
      <c r="M40" s="258"/>
      <c r="N40" s="258">
        <f>P40-SUM(C40:M40)</f>
        <v>0</v>
      </c>
      <c r="O40" s="258"/>
      <c r="P40" s="258">
        <f>'[2]B4-FinPerf RE'!K41</f>
        <v>0</v>
      </c>
      <c r="Q40" s="46">
        <f>'[2]B4-FinPerf RE'!L41</f>
        <v>0</v>
      </c>
      <c r="R40" s="46">
        <f>'[2]B4-FinPerf RE'!M41</f>
        <v>0</v>
      </c>
    </row>
    <row r="41" spans="1:19" ht="40.799999999999997" x14ac:dyDescent="0.2">
      <c r="A41" s="260" t="s">
        <v>424</v>
      </c>
      <c r="B41" s="258"/>
      <c r="C41" s="258"/>
      <c r="D41" s="258"/>
      <c r="E41" s="258"/>
      <c r="F41" s="258"/>
      <c r="G41" s="258"/>
      <c r="H41" s="258"/>
      <c r="I41" s="258"/>
      <c r="J41" s="258"/>
      <c r="K41" s="258"/>
      <c r="L41" s="258"/>
      <c r="M41" s="258"/>
      <c r="N41" s="258">
        <f>P41-SUM(C41:M41)</f>
        <v>4285000</v>
      </c>
      <c r="O41" s="258"/>
      <c r="P41" s="258">
        <f>'[2]B4-FinPerf RE'!K42</f>
        <v>4285000</v>
      </c>
      <c r="Q41" s="46">
        <f>'[2]B4-FinPerf RE'!L42</f>
        <v>7000000</v>
      </c>
      <c r="R41" s="46">
        <f>'[2]B4-FinPerf RE'!M42</f>
        <v>7000000</v>
      </c>
    </row>
    <row r="42" spans="1:19" s="159" customFormat="1" ht="40.799999999999997" x14ac:dyDescent="0.2">
      <c r="A42" s="261" t="s">
        <v>447</v>
      </c>
      <c r="B42" s="63"/>
      <c r="C42" s="63">
        <f>C38+SUM(C39:C41)</f>
        <v>102106824</v>
      </c>
      <c r="D42" s="63">
        <f t="shared" ref="D42:R42" si="7">D38+SUM(D39:D41)</f>
        <v>-19731214</v>
      </c>
      <c r="E42" s="63">
        <f t="shared" si="7"/>
        <v>-18966719</v>
      </c>
      <c r="F42" s="63">
        <f t="shared" si="7"/>
        <v>-9415950</v>
      </c>
      <c r="G42" s="63">
        <f t="shared" si="7"/>
        <v>-7325730</v>
      </c>
      <c r="H42" s="63">
        <f t="shared" si="7"/>
        <v>60301945</v>
      </c>
      <c r="I42" s="63">
        <f t="shared" si="7"/>
        <v>-12224472</v>
      </c>
      <c r="J42" s="63">
        <f t="shared" si="7"/>
        <v>-16008696</v>
      </c>
      <c r="K42" s="63">
        <f t="shared" si="7"/>
        <v>53555691</v>
      </c>
      <c r="L42" s="63">
        <f t="shared" si="7"/>
        <v>-3833903</v>
      </c>
      <c r="M42" s="63">
        <f t="shared" si="7"/>
        <v>8634043</v>
      </c>
      <c r="N42" s="63">
        <f t="shared" si="7"/>
        <v>-20385304.849240091</v>
      </c>
      <c r="O42" s="63">
        <f t="shared" si="7"/>
        <v>54813514.150759995</v>
      </c>
      <c r="P42" s="63">
        <f>P38+SUM(P39:P41)</f>
        <v>116706514.15075999</v>
      </c>
      <c r="Q42" s="46">
        <f t="shared" si="7"/>
        <v>143193172.60952121</v>
      </c>
      <c r="R42" s="237">
        <f t="shared" si="7"/>
        <v>155956991.66726768</v>
      </c>
      <c r="S42" s="237"/>
    </row>
    <row r="43" spans="1:19" s="159" customFormat="1" x14ac:dyDescent="0.2">
      <c r="A43" s="262">
        <f>head27a</f>
        <v>0</v>
      </c>
      <c r="B43" s="63"/>
      <c r="C43" s="63"/>
      <c r="D43" s="63"/>
      <c r="E43" s="63"/>
      <c r="F43" s="63"/>
      <c r="G43" s="63"/>
      <c r="H43" s="63"/>
      <c r="I43" s="63"/>
      <c r="J43" s="63"/>
      <c r="K43" s="63"/>
      <c r="L43" s="63"/>
      <c r="M43" s="63"/>
      <c r="N43" s="63"/>
      <c r="O43" s="63"/>
      <c r="P43" s="63"/>
      <c r="Q43" s="237"/>
      <c r="R43" s="237"/>
      <c r="S43" s="237"/>
    </row>
    <row r="44" spans="1:19" s="159" customFormat="1" x14ac:dyDescent="0.2">
      <c r="A44" s="262" t="s">
        <v>929</v>
      </c>
    </row>
    <row r="45" spans="1:19" x14ac:dyDescent="0.2">
      <c r="A45" s="77" t="s">
        <v>448</v>
      </c>
      <c r="N45" s="263"/>
      <c r="O45" s="263"/>
      <c r="P45" s="263">
        <f>P42-'[2]B4-FinPerf RE'!K43</f>
        <v>0</v>
      </c>
      <c r="Q45" s="46">
        <f>Q42-'[2]B4-FinPerf RE'!L43</f>
        <v>0</v>
      </c>
      <c r="R45" s="46">
        <f>R42-'[2]B4-FinPerf RE'!M43</f>
        <v>0</v>
      </c>
    </row>
  </sheetData>
  <mergeCells count="2">
    <mergeCell ref="B2:M2"/>
    <mergeCell ref="P2:R2"/>
  </mergeCells>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53"/>
  <sheetViews>
    <sheetView view="pageBreakPreview" zoomScale="86" zoomScaleNormal="100" zoomScaleSheetLayoutView="86" workbookViewId="0">
      <selection activeCell="AE27" sqref="AE27"/>
    </sheetView>
  </sheetViews>
  <sheetFormatPr defaultColWidth="8.88671875" defaultRowHeight="14.4" x14ac:dyDescent="0.3"/>
  <cols>
    <col min="1" max="1" width="6" style="38" customWidth="1"/>
    <col min="2" max="2" width="12.109375" style="38" customWidth="1"/>
    <col min="3" max="3" width="8.109375" style="38" customWidth="1"/>
    <col min="4" max="4" width="17.44140625" style="38" customWidth="1"/>
    <col min="5" max="5" width="13.6640625" style="38" customWidth="1"/>
    <col min="6" max="7" width="8.88671875" style="38"/>
    <col min="8" max="8" width="16.5546875" style="38" customWidth="1"/>
    <col min="9" max="9" width="8.88671875" style="38"/>
    <col min="10" max="10" width="11.6640625" style="38" customWidth="1"/>
    <col min="11" max="11" width="8.88671875" style="38"/>
    <col min="12" max="12" width="10.6640625" style="38" customWidth="1"/>
    <col min="13" max="13" width="15.44140625" style="38" customWidth="1"/>
    <col min="14" max="14" width="9.6640625" style="38" customWidth="1"/>
    <col min="15" max="15" width="14.5546875" style="38" customWidth="1"/>
    <col min="16" max="16384" width="8.88671875" style="38"/>
  </cols>
  <sheetData>
    <row r="1" spans="1:15" ht="42" thickTop="1" thickBot="1" x14ac:dyDescent="0.35">
      <c r="A1" s="264" t="s">
        <v>0</v>
      </c>
      <c r="B1" s="266" t="s">
        <v>2</v>
      </c>
      <c r="C1" s="266" t="s">
        <v>386</v>
      </c>
      <c r="D1" s="266" t="s">
        <v>57</v>
      </c>
      <c r="E1" s="266" t="s">
        <v>344</v>
      </c>
      <c r="F1" s="266" t="s">
        <v>58</v>
      </c>
      <c r="G1" s="264" t="s">
        <v>59</v>
      </c>
      <c r="H1" s="264" t="s">
        <v>271</v>
      </c>
      <c r="I1" s="265" t="s">
        <v>512</v>
      </c>
      <c r="J1" s="266" t="s">
        <v>513</v>
      </c>
      <c r="K1" s="266" t="s">
        <v>514</v>
      </c>
      <c r="L1" s="266" t="s">
        <v>515</v>
      </c>
      <c r="M1" s="266" t="s">
        <v>516</v>
      </c>
      <c r="N1" s="266" t="s">
        <v>60</v>
      </c>
      <c r="O1" s="266" t="s">
        <v>61</v>
      </c>
    </row>
    <row r="2" spans="1:15" ht="15" thickTop="1" x14ac:dyDescent="0.3">
      <c r="A2" s="560" t="s">
        <v>54</v>
      </c>
      <c r="B2" s="561"/>
      <c r="C2" s="561"/>
      <c r="D2" s="561"/>
      <c r="E2" s="561"/>
      <c r="F2" s="561"/>
      <c r="G2" s="561"/>
      <c r="H2" s="561"/>
      <c r="I2" s="561"/>
      <c r="J2" s="561"/>
      <c r="K2" s="561"/>
      <c r="L2" s="561"/>
      <c r="M2" s="561"/>
      <c r="N2" s="561"/>
      <c r="O2" s="562"/>
    </row>
    <row r="3" spans="1:15" x14ac:dyDescent="0.3">
      <c r="A3" s="563" t="s">
        <v>55</v>
      </c>
      <c r="B3" s="564"/>
      <c r="C3" s="564"/>
      <c r="D3" s="564"/>
      <c r="E3" s="564"/>
      <c r="F3" s="564"/>
      <c r="G3" s="564"/>
      <c r="H3" s="564"/>
      <c r="I3" s="564"/>
      <c r="J3" s="564"/>
      <c r="K3" s="564"/>
      <c r="L3" s="564"/>
      <c r="M3" s="564"/>
      <c r="N3" s="564"/>
      <c r="O3" s="565"/>
    </row>
    <row r="4" spans="1:15" ht="15" thickBot="1" x14ac:dyDescent="0.35">
      <c r="A4" s="566" t="s">
        <v>56</v>
      </c>
      <c r="B4" s="567"/>
      <c r="C4" s="567"/>
      <c r="D4" s="567"/>
      <c r="E4" s="567"/>
      <c r="F4" s="567"/>
      <c r="G4" s="567"/>
      <c r="H4" s="567"/>
      <c r="I4" s="567"/>
      <c r="J4" s="567"/>
      <c r="K4" s="567"/>
      <c r="L4" s="567"/>
      <c r="M4" s="567"/>
      <c r="N4" s="567"/>
      <c r="O4" s="568"/>
    </row>
    <row r="5" spans="1:15" ht="42" thickTop="1" thickBot="1" x14ac:dyDescent="0.35">
      <c r="A5" s="11"/>
      <c r="B5" s="7" t="s">
        <v>62</v>
      </c>
      <c r="C5" s="8" t="s">
        <v>63</v>
      </c>
      <c r="D5" s="7" t="s">
        <v>510</v>
      </c>
      <c r="E5" s="7" t="s">
        <v>315</v>
      </c>
      <c r="F5" s="7" t="s">
        <v>64</v>
      </c>
      <c r="G5" s="277">
        <v>43615</v>
      </c>
      <c r="H5" s="8" t="s">
        <v>511</v>
      </c>
      <c r="I5" s="8" t="s">
        <v>65</v>
      </c>
      <c r="J5" s="278" t="s">
        <v>12</v>
      </c>
      <c r="K5" s="278" t="s">
        <v>12</v>
      </c>
      <c r="L5" s="278" t="s">
        <v>12</v>
      </c>
      <c r="M5" s="8" t="s">
        <v>511</v>
      </c>
      <c r="N5" s="8" t="s">
        <v>49</v>
      </c>
      <c r="O5" s="8" t="s">
        <v>67</v>
      </c>
    </row>
    <row r="6" spans="1:15" ht="42" thickTop="1" thickBot="1" x14ac:dyDescent="0.35">
      <c r="A6" s="11"/>
      <c r="B6" s="7" t="s">
        <v>62</v>
      </c>
      <c r="C6" s="8" t="s">
        <v>63</v>
      </c>
      <c r="D6" s="7" t="s">
        <v>68</v>
      </c>
      <c r="E6" s="7" t="s">
        <v>380</v>
      </c>
      <c r="F6" s="7" t="s">
        <v>69</v>
      </c>
      <c r="G6" s="9" t="s">
        <v>774</v>
      </c>
      <c r="H6" s="9" t="s">
        <v>775</v>
      </c>
      <c r="I6" s="8" t="s">
        <v>65</v>
      </c>
      <c r="J6" s="10">
        <v>6</v>
      </c>
      <c r="K6" s="279">
        <v>12</v>
      </c>
      <c r="L6" s="280">
        <v>18</v>
      </c>
      <c r="M6" s="280" t="s">
        <v>12</v>
      </c>
      <c r="N6" s="8"/>
      <c r="O6" s="8" t="s">
        <v>70</v>
      </c>
    </row>
    <row r="7" spans="1:15" ht="52.2" thickTop="1" thickBot="1" x14ac:dyDescent="0.35">
      <c r="A7" s="11"/>
      <c r="B7" s="8" t="s">
        <v>71</v>
      </c>
      <c r="C7" s="8" t="s">
        <v>72</v>
      </c>
      <c r="D7" s="8" t="s">
        <v>517</v>
      </c>
      <c r="E7" s="8" t="s">
        <v>316</v>
      </c>
      <c r="F7" s="8" t="s">
        <v>64</v>
      </c>
      <c r="G7" s="281">
        <v>43310</v>
      </c>
      <c r="H7" s="87" t="s">
        <v>518</v>
      </c>
      <c r="I7" s="8" t="s">
        <v>65</v>
      </c>
      <c r="J7" s="87" t="s">
        <v>518</v>
      </c>
      <c r="K7" s="278" t="s">
        <v>12</v>
      </c>
      <c r="L7" s="278" t="s">
        <v>12</v>
      </c>
      <c r="M7" s="278" t="s">
        <v>12</v>
      </c>
      <c r="N7" s="282" t="s">
        <v>283</v>
      </c>
      <c r="O7" s="8" t="s">
        <v>73</v>
      </c>
    </row>
    <row r="8" spans="1:15" ht="42" thickTop="1" thickBot="1" x14ac:dyDescent="0.35">
      <c r="A8" s="10"/>
      <c r="B8" s="8" t="s">
        <v>71</v>
      </c>
      <c r="C8" s="7" t="s">
        <v>72</v>
      </c>
      <c r="D8" s="8" t="s">
        <v>519</v>
      </c>
      <c r="E8" s="8" t="s">
        <v>462</v>
      </c>
      <c r="F8" s="7" t="s">
        <v>64</v>
      </c>
      <c r="G8" s="277">
        <v>43554</v>
      </c>
      <c r="H8" s="7" t="s">
        <v>520</v>
      </c>
      <c r="I8" s="7" t="s">
        <v>74</v>
      </c>
      <c r="J8" s="278" t="s">
        <v>12</v>
      </c>
      <c r="K8" s="278" t="s">
        <v>12</v>
      </c>
      <c r="L8" s="7" t="s">
        <v>522</v>
      </c>
      <c r="M8" s="7" t="s">
        <v>521</v>
      </c>
      <c r="N8" s="282" t="s">
        <v>283</v>
      </c>
      <c r="O8" s="7" t="s">
        <v>463</v>
      </c>
    </row>
    <row r="9" spans="1:15" ht="62.4" thickTop="1" thickBot="1" x14ac:dyDescent="0.35">
      <c r="A9" s="11"/>
      <c r="B9" s="8" t="s">
        <v>62</v>
      </c>
      <c r="C9" s="8" t="s">
        <v>75</v>
      </c>
      <c r="D9" s="8" t="s">
        <v>523</v>
      </c>
      <c r="E9" s="7" t="s">
        <v>317</v>
      </c>
      <c r="F9" s="7" t="s">
        <v>64</v>
      </c>
      <c r="G9" s="283">
        <v>43646</v>
      </c>
      <c r="H9" s="280" t="s">
        <v>524</v>
      </c>
      <c r="I9" s="8" t="s">
        <v>65</v>
      </c>
      <c r="J9" s="278" t="s">
        <v>12</v>
      </c>
      <c r="K9" s="278" t="s">
        <v>12</v>
      </c>
      <c r="L9" s="278" t="s">
        <v>12</v>
      </c>
      <c r="M9" s="280" t="s">
        <v>282</v>
      </c>
      <c r="N9" s="280" t="s">
        <v>76</v>
      </c>
      <c r="O9" s="280" t="s">
        <v>77</v>
      </c>
    </row>
    <row r="10" spans="1:15" ht="42" thickTop="1" thickBot="1" x14ac:dyDescent="0.35">
      <c r="A10" s="11"/>
      <c r="B10" s="8" t="s">
        <v>62</v>
      </c>
      <c r="C10" s="8" t="s">
        <v>75</v>
      </c>
      <c r="D10" s="8" t="s">
        <v>78</v>
      </c>
      <c r="E10" s="8" t="s">
        <v>318</v>
      </c>
      <c r="F10" s="8" t="s">
        <v>69</v>
      </c>
      <c r="G10" s="11">
        <v>4</v>
      </c>
      <c r="H10" s="11">
        <v>4</v>
      </c>
      <c r="I10" s="8" t="s">
        <v>74</v>
      </c>
      <c r="J10" s="11">
        <v>1</v>
      </c>
      <c r="K10" s="11">
        <v>1</v>
      </c>
      <c r="L10" s="11">
        <v>1</v>
      </c>
      <c r="M10" s="11">
        <v>1</v>
      </c>
      <c r="N10" s="8" t="s">
        <v>76</v>
      </c>
      <c r="O10" s="8" t="s">
        <v>79</v>
      </c>
    </row>
    <row r="11" spans="1:15" ht="62.4" thickTop="1" thickBot="1" x14ac:dyDescent="0.35">
      <c r="A11" s="11"/>
      <c r="B11" s="8" t="s">
        <v>62</v>
      </c>
      <c r="C11" s="8" t="s">
        <v>75</v>
      </c>
      <c r="D11" s="8" t="s">
        <v>80</v>
      </c>
      <c r="E11" s="7" t="s">
        <v>320</v>
      </c>
      <c r="F11" s="7" t="s">
        <v>64</v>
      </c>
      <c r="G11" s="281">
        <v>43310</v>
      </c>
      <c r="H11" s="11" t="s">
        <v>525</v>
      </c>
      <c r="I11" s="8" t="s">
        <v>74</v>
      </c>
      <c r="J11" s="11" t="s">
        <v>525</v>
      </c>
      <c r="K11" s="278" t="s">
        <v>12</v>
      </c>
      <c r="L11" s="278" t="s">
        <v>12</v>
      </c>
      <c r="M11" s="278" t="s">
        <v>12</v>
      </c>
      <c r="N11" s="280" t="s">
        <v>76</v>
      </c>
      <c r="O11" s="8" t="s">
        <v>81</v>
      </c>
    </row>
    <row r="12" spans="1:15" ht="62.4" thickTop="1" thickBot="1" x14ac:dyDescent="0.35">
      <c r="A12" s="11"/>
      <c r="B12" s="8" t="s">
        <v>62</v>
      </c>
      <c r="C12" s="8" t="s">
        <v>75</v>
      </c>
      <c r="D12" s="8" t="s">
        <v>82</v>
      </c>
      <c r="E12" s="8" t="s">
        <v>319</v>
      </c>
      <c r="F12" s="8" t="s">
        <v>69</v>
      </c>
      <c r="G12" s="11">
        <v>1</v>
      </c>
      <c r="H12" s="11">
        <v>12</v>
      </c>
      <c r="I12" s="8" t="s">
        <v>74</v>
      </c>
      <c r="J12" s="11" t="s">
        <v>12</v>
      </c>
      <c r="K12" s="278" t="s">
        <v>12</v>
      </c>
      <c r="L12" s="11">
        <v>6</v>
      </c>
      <c r="M12" s="279">
        <v>6</v>
      </c>
      <c r="N12" s="8" t="s">
        <v>76</v>
      </c>
      <c r="O12" s="8" t="s">
        <v>83</v>
      </c>
    </row>
    <row r="13" spans="1:15" ht="82.8" thickTop="1" thickBot="1" x14ac:dyDescent="0.35">
      <c r="A13" s="11"/>
      <c r="B13" s="8" t="s">
        <v>62</v>
      </c>
      <c r="C13" s="8" t="s">
        <v>75</v>
      </c>
      <c r="D13" s="8" t="s">
        <v>84</v>
      </c>
      <c r="E13" s="7" t="s">
        <v>464</v>
      </c>
      <c r="F13" s="7" t="s">
        <v>64</v>
      </c>
      <c r="G13" s="281">
        <v>43342</v>
      </c>
      <c r="H13" s="11" t="s">
        <v>528</v>
      </c>
      <c r="I13" s="8" t="s">
        <v>74</v>
      </c>
      <c r="J13" s="11" t="s">
        <v>528</v>
      </c>
      <c r="K13" s="278" t="s">
        <v>12</v>
      </c>
      <c r="L13" s="278" t="s">
        <v>12</v>
      </c>
      <c r="M13" s="278" t="s">
        <v>12</v>
      </c>
      <c r="N13" s="280" t="s">
        <v>76</v>
      </c>
      <c r="O13" s="8" t="s">
        <v>85</v>
      </c>
    </row>
    <row r="14" spans="1:15" ht="93" thickTop="1" thickBot="1" x14ac:dyDescent="0.35">
      <c r="A14" s="11"/>
      <c r="B14" s="8" t="s">
        <v>62</v>
      </c>
      <c r="C14" s="8" t="s">
        <v>75</v>
      </c>
      <c r="D14" s="8" t="s">
        <v>84</v>
      </c>
      <c r="E14" s="7" t="s">
        <v>465</v>
      </c>
      <c r="F14" s="7" t="s">
        <v>64</v>
      </c>
      <c r="G14" s="281">
        <v>43490</v>
      </c>
      <c r="H14" s="11" t="s">
        <v>527</v>
      </c>
      <c r="I14" s="8" t="s">
        <v>74</v>
      </c>
      <c r="J14" s="278" t="s">
        <v>12</v>
      </c>
      <c r="K14" s="278" t="s">
        <v>12</v>
      </c>
      <c r="L14" s="11" t="s">
        <v>527</v>
      </c>
      <c r="M14" s="278" t="s">
        <v>12</v>
      </c>
      <c r="N14" s="280" t="s">
        <v>76</v>
      </c>
      <c r="O14" s="8" t="s">
        <v>85</v>
      </c>
    </row>
    <row r="15" spans="1:15" ht="62.4" thickTop="1" thickBot="1" x14ac:dyDescent="0.35">
      <c r="A15" s="11"/>
      <c r="B15" s="8" t="s">
        <v>62</v>
      </c>
      <c r="C15" s="8" t="s">
        <v>75</v>
      </c>
      <c r="D15" s="8" t="s">
        <v>86</v>
      </c>
      <c r="E15" s="7" t="s">
        <v>466</v>
      </c>
      <c r="F15" s="8" t="s">
        <v>64</v>
      </c>
      <c r="G15" s="11" t="s">
        <v>526</v>
      </c>
      <c r="H15" s="11" t="s">
        <v>529</v>
      </c>
      <c r="I15" s="8" t="s">
        <v>74</v>
      </c>
      <c r="J15" s="278" t="s">
        <v>12</v>
      </c>
      <c r="K15" s="278" t="s">
        <v>12</v>
      </c>
      <c r="L15" s="11" t="s">
        <v>529</v>
      </c>
      <c r="M15" s="278" t="s">
        <v>12</v>
      </c>
      <c r="N15" s="8" t="s">
        <v>76</v>
      </c>
      <c r="O15" s="8" t="s">
        <v>87</v>
      </c>
    </row>
    <row r="16" spans="1:15" ht="72.599999999999994" thickTop="1" thickBot="1" x14ac:dyDescent="0.35">
      <c r="A16" s="11"/>
      <c r="B16" s="8" t="s">
        <v>62</v>
      </c>
      <c r="C16" s="8" t="s">
        <v>75</v>
      </c>
      <c r="D16" s="8" t="s">
        <v>84</v>
      </c>
      <c r="E16" s="7" t="s">
        <v>467</v>
      </c>
      <c r="F16" s="8" t="s">
        <v>64</v>
      </c>
      <c r="G16" s="284">
        <v>43555</v>
      </c>
      <c r="H16" s="11" t="s">
        <v>530</v>
      </c>
      <c r="I16" s="8" t="s">
        <v>74</v>
      </c>
      <c r="J16" s="278" t="s">
        <v>12</v>
      </c>
      <c r="K16" s="278" t="s">
        <v>12</v>
      </c>
      <c r="L16" s="11" t="s">
        <v>530</v>
      </c>
      <c r="M16" s="278" t="s">
        <v>12</v>
      </c>
      <c r="N16" s="8" t="s">
        <v>76</v>
      </c>
      <c r="O16" s="8" t="s">
        <v>88</v>
      </c>
    </row>
    <row r="17" spans="1:15" ht="72.599999999999994" thickTop="1" thickBot="1" x14ac:dyDescent="0.35">
      <c r="A17" s="11"/>
      <c r="B17" s="8" t="s">
        <v>62</v>
      </c>
      <c r="C17" s="8" t="s">
        <v>75</v>
      </c>
      <c r="D17" s="8" t="s">
        <v>84</v>
      </c>
      <c r="E17" s="7" t="s">
        <v>718</v>
      </c>
      <c r="F17" s="8" t="s">
        <v>64</v>
      </c>
      <c r="G17" s="281">
        <v>43562</v>
      </c>
      <c r="H17" s="11" t="s">
        <v>531</v>
      </c>
      <c r="I17" s="8" t="s">
        <v>74</v>
      </c>
      <c r="J17" s="278" t="s">
        <v>12</v>
      </c>
      <c r="K17" s="278" t="s">
        <v>12</v>
      </c>
      <c r="L17" s="278" t="s">
        <v>12</v>
      </c>
      <c r="M17" s="11" t="s">
        <v>531</v>
      </c>
      <c r="N17" s="8" t="s">
        <v>76</v>
      </c>
      <c r="O17" s="8" t="s">
        <v>89</v>
      </c>
    </row>
    <row r="18" spans="1:15" ht="62.4" thickTop="1" thickBot="1" x14ac:dyDescent="0.35">
      <c r="A18" s="11"/>
      <c r="B18" s="8" t="s">
        <v>62</v>
      </c>
      <c r="C18" s="8" t="s">
        <v>75</v>
      </c>
      <c r="D18" s="8" t="s">
        <v>84</v>
      </c>
      <c r="E18" s="8" t="s">
        <v>468</v>
      </c>
      <c r="F18" s="8" t="s">
        <v>64</v>
      </c>
      <c r="G18" s="281">
        <v>43555</v>
      </c>
      <c r="H18" s="11" t="s">
        <v>533</v>
      </c>
      <c r="I18" s="8" t="s">
        <v>74</v>
      </c>
      <c r="J18" s="278" t="s">
        <v>12</v>
      </c>
      <c r="K18" s="278" t="s">
        <v>12</v>
      </c>
      <c r="L18" s="11" t="s">
        <v>533</v>
      </c>
      <c r="M18" s="278" t="s">
        <v>12</v>
      </c>
      <c r="N18" s="8" t="s">
        <v>76</v>
      </c>
      <c r="O18" s="8" t="s">
        <v>532</v>
      </c>
    </row>
    <row r="19" spans="1:15" ht="62.4" thickTop="1" thickBot="1" x14ac:dyDescent="0.35">
      <c r="A19" s="11"/>
      <c r="B19" s="8" t="s">
        <v>62</v>
      </c>
      <c r="C19" s="8" t="s">
        <v>90</v>
      </c>
      <c r="D19" s="8" t="s">
        <v>91</v>
      </c>
      <c r="E19" s="8" t="s">
        <v>381</v>
      </c>
      <c r="F19" s="8" t="s">
        <v>379</v>
      </c>
      <c r="G19" s="11" t="s">
        <v>385</v>
      </c>
      <c r="H19" s="87">
        <v>1</v>
      </c>
      <c r="I19" s="8" t="s">
        <v>74</v>
      </c>
      <c r="J19" s="87">
        <v>1</v>
      </c>
      <c r="K19" s="87">
        <v>1</v>
      </c>
      <c r="L19" s="87">
        <v>1</v>
      </c>
      <c r="M19" s="87">
        <v>1</v>
      </c>
      <c r="N19" s="8" t="s">
        <v>66</v>
      </c>
      <c r="O19" s="8" t="s">
        <v>93</v>
      </c>
    </row>
    <row r="20" spans="1:15" ht="52.2" thickTop="1" thickBot="1" x14ac:dyDescent="0.35">
      <c r="A20" s="10"/>
      <c r="B20" s="7" t="s">
        <v>62</v>
      </c>
      <c r="C20" s="7" t="s">
        <v>94</v>
      </c>
      <c r="D20" s="9" t="s">
        <v>95</v>
      </c>
      <c r="E20" s="7" t="s">
        <v>382</v>
      </c>
      <c r="F20" s="7" t="s">
        <v>96</v>
      </c>
      <c r="G20" s="10">
        <v>4</v>
      </c>
      <c r="H20" s="10">
        <v>4</v>
      </c>
      <c r="I20" s="8" t="s">
        <v>74</v>
      </c>
      <c r="J20" s="10">
        <v>1</v>
      </c>
      <c r="K20" s="10">
        <v>1</v>
      </c>
      <c r="L20" s="10">
        <v>1</v>
      </c>
      <c r="M20" s="10">
        <v>1</v>
      </c>
      <c r="N20" s="9" t="s">
        <v>76</v>
      </c>
      <c r="O20" s="7" t="s">
        <v>97</v>
      </c>
    </row>
    <row r="21" spans="1:15" ht="52.2" thickTop="1" thickBot="1" x14ac:dyDescent="0.35">
      <c r="A21" s="10"/>
      <c r="B21" s="7" t="s">
        <v>62</v>
      </c>
      <c r="C21" s="7" t="s">
        <v>94</v>
      </c>
      <c r="D21" s="9" t="s">
        <v>98</v>
      </c>
      <c r="E21" s="7" t="s">
        <v>384</v>
      </c>
      <c r="F21" s="7" t="s">
        <v>64</v>
      </c>
      <c r="G21" s="285">
        <v>43496</v>
      </c>
      <c r="H21" s="10" t="s">
        <v>534</v>
      </c>
      <c r="I21" s="8" t="s">
        <v>74</v>
      </c>
      <c r="J21" s="278" t="s">
        <v>12</v>
      </c>
      <c r="K21" s="278" t="s">
        <v>12</v>
      </c>
      <c r="L21" s="10" t="s">
        <v>534</v>
      </c>
      <c r="M21" s="278" t="s">
        <v>12</v>
      </c>
      <c r="N21" s="9" t="s">
        <v>76</v>
      </c>
      <c r="O21" s="7" t="s">
        <v>99</v>
      </c>
    </row>
    <row r="22" spans="1:15" ht="52.2" thickTop="1" thickBot="1" x14ac:dyDescent="0.35">
      <c r="A22" s="10"/>
      <c r="B22" s="7" t="s">
        <v>62</v>
      </c>
      <c r="C22" s="7" t="s">
        <v>94</v>
      </c>
      <c r="D22" s="9" t="s">
        <v>98</v>
      </c>
      <c r="E22" s="7" t="s">
        <v>383</v>
      </c>
      <c r="F22" s="7" t="s">
        <v>64</v>
      </c>
      <c r="G22" s="285">
        <v>43646</v>
      </c>
      <c r="H22" s="10" t="s">
        <v>535</v>
      </c>
      <c r="I22" s="8" t="s">
        <v>74</v>
      </c>
      <c r="J22" s="278" t="s">
        <v>12</v>
      </c>
      <c r="K22" s="278" t="s">
        <v>12</v>
      </c>
      <c r="L22" s="10" t="s">
        <v>535</v>
      </c>
      <c r="M22" s="278" t="s">
        <v>12</v>
      </c>
      <c r="N22" s="9" t="s">
        <v>76</v>
      </c>
      <c r="O22" s="7" t="s">
        <v>100</v>
      </c>
    </row>
    <row r="23" spans="1:15" ht="72.599999999999994" thickTop="1" thickBot="1" x14ac:dyDescent="0.35">
      <c r="A23" s="10"/>
      <c r="B23" s="9" t="s">
        <v>62</v>
      </c>
      <c r="C23" s="10" t="s">
        <v>94</v>
      </c>
      <c r="D23" s="9" t="s">
        <v>539</v>
      </c>
      <c r="E23" s="7" t="s">
        <v>378</v>
      </c>
      <c r="F23" s="7" t="s">
        <v>470</v>
      </c>
      <c r="G23" s="278" t="s">
        <v>472</v>
      </c>
      <c r="H23" s="278" t="s">
        <v>536</v>
      </c>
      <c r="I23" s="8" t="s">
        <v>74</v>
      </c>
      <c r="J23" s="278">
        <v>0.25</v>
      </c>
      <c r="K23" s="278">
        <v>0.5</v>
      </c>
      <c r="L23" s="278">
        <v>0.75</v>
      </c>
      <c r="M23" s="278" t="s">
        <v>101</v>
      </c>
      <c r="N23" s="278" t="s">
        <v>76</v>
      </c>
      <c r="O23" s="7" t="s">
        <v>102</v>
      </c>
    </row>
    <row r="24" spans="1:15" ht="82.8" thickTop="1" thickBot="1" x14ac:dyDescent="0.35">
      <c r="A24" s="10"/>
      <c r="B24" s="9" t="s">
        <v>62</v>
      </c>
      <c r="C24" s="10" t="s">
        <v>94</v>
      </c>
      <c r="D24" s="9" t="s">
        <v>539</v>
      </c>
      <c r="E24" s="7" t="s">
        <v>377</v>
      </c>
      <c r="F24" s="7" t="s">
        <v>469</v>
      </c>
      <c r="G24" s="286" t="s">
        <v>473</v>
      </c>
      <c r="H24" s="278" t="s">
        <v>537</v>
      </c>
      <c r="I24" s="8" t="s">
        <v>74</v>
      </c>
      <c r="J24" s="278" t="s">
        <v>12</v>
      </c>
      <c r="K24" s="278" t="s">
        <v>12</v>
      </c>
      <c r="L24" s="278">
        <v>0.5</v>
      </c>
      <c r="M24" s="278">
        <v>1</v>
      </c>
      <c r="N24" s="278" t="s">
        <v>76</v>
      </c>
      <c r="O24" s="7" t="s">
        <v>103</v>
      </c>
    </row>
    <row r="25" spans="1:15" ht="72.599999999999994" thickTop="1" thickBot="1" x14ac:dyDescent="0.35">
      <c r="A25" s="10"/>
      <c r="B25" s="7" t="s">
        <v>62</v>
      </c>
      <c r="C25" s="10" t="s">
        <v>104</v>
      </c>
      <c r="D25" s="9" t="s">
        <v>540</v>
      </c>
      <c r="E25" s="7" t="s">
        <v>376</v>
      </c>
      <c r="F25" s="7" t="s">
        <v>471</v>
      </c>
      <c r="G25" s="278" t="s">
        <v>301</v>
      </c>
      <c r="H25" s="278" t="s">
        <v>538</v>
      </c>
      <c r="I25" s="8" t="s">
        <v>74</v>
      </c>
      <c r="J25" s="278">
        <v>0.25</v>
      </c>
      <c r="K25" s="278">
        <v>0.5</v>
      </c>
      <c r="L25" s="278">
        <v>0.75</v>
      </c>
      <c r="M25" s="278">
        <v>1</v>
      </c>
      <c r="N25" s="278" t="s">
        <v>76</v>
      </c>
      <c r="O25" s="7" t="s">
        <v>105</v>
      </c>
    </row>
    <row r="26" spans="1:15" ht="15" thickTop="1" x14ac:dyDescent="0.3"/>
    <row r="53" spans="18:18" x14ac:dyDescent="0.3">
      <c r="R53" s="39"/>
    </row>
  </sheetData>
  <mergeCells count="3">
    <mergeCell ref="A2:O2"/>
    <mergeCell ref="A3:O3"/>
    <mergeCell ref="A4:O4"/>
  </mergeCells>
  <pageMargins left="0.70866141732283472" right="0.70866141732283472" top="0.74803149606299213" bottom="0.74803149606299213" header="0.31496062992125984" footer="0.31496062992125984"/>
  <pageSetup paperSize="9" scale="76" fitToHeight="0" orientation="landscape" r:id="rId1"/>
  <headerFooter>
    <oddFooter>&amp;L2019/20 SDBIP&amp;CMUNICIPAL TRANSFORMATION AND DEVELOPMENT KPI'S&amp;RPage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10"/>
  <sheetViews>
    <sheetView view="pageBreakPreview" topLeftCell="A2" zoomScale="106" zoomScaleNormal="100" zoomScaleSheetLayoutView="106" workbookViewId="0">
      <selection activeCell="AE27" sqref="AE27"/>
    </sheetView>
  </sheetViews>
  <sheetFormatPr defaultColWidth="8.88671875" defaultRowHeight="13.8" x14ac:dyDescent="0.3"/>
  <cols>
    <col min="1" max="1" width="5.109375" style="3" customWidth="1"/>
    <col min="2" max="2" width="11.33203125" style="3" customWidth="1"/>
    <col min="3" max="3" width="8.88671875" style="3"/>
    <col min="4" max="4" width="14.6640625" style="3" customWidth="1"/>
    <col min="5" max="5" width="12.6640625" style="3" customWidth="1"/>
    <col min="6" max="6" width="11.5546875" style="3" customWidth="1"/>
    <col min="7" max="7" width="12.109375" style="3" customWidth="1"/>
    <col min="8" max="8" width="16.6640625" style="3" customWidth="1"/>
    <col min="9" max="9" width="8.88671875" style="3"/>
    <col min="10" max="10" width="11.5546875" style="3" customWidth="1"/>
    <col min="11" max="11" width="14.33203125" style="3" customWidth="1"/>
    <col min="12" max="12" width="12" style="3" customWidth="1"/>
    <col min="13" max="13" width="11.88671875" style="3" customWidth="1"/>
    <col min="14" max="14" width="9.109375" style="3" customWidth="1"/>
    <col min="15" max="15" width="10.6640625" style="3" customWidth="1"/>
    <col min="16" max="16384" width="8.88671875" style="3"/>
  </cols>
  <sheetData>
    <row r="1" spans="1:15" s="39" customFormat="1" ht="42.6" thickTop="1" thickBot="1" x14ac:dyDescent="0.35">
      <c r="A1" s="118" t="s">
        <v>0</v>
      </c>
      <c r="B1" s="119" t="s">
        <v>2</v>
      </c>
      <c r="C1" s="119" t="s">
        <v>386</v>
      </c>
      <c r="D1" s="119" t="s">
        <v>57</v>
      </c>
      <c r="E1" s="119" t="s">
        <v>344</v>
      </c>
      <c r="F1" s="119" t="s">
        <v>58</v>
      </c>
      <c r="G1" s="118" t="s">
        <v>59</v>
      </c>
      <c r="H1" s="43" t="s">
        <v>271</v>
      </c>
      <c r="I1" s="45" t="s">
        <v>512</v>
      </c>
      <c r="J1" s="44" t="s">
        <v>513</v>
      </c>
      <c r="K1" s="44" t="s">
        <v>514</v>
      </c>
      <c r="L1" s="44" t="s">
        <v>515</v>
      </c>
      <c r="M1" s="44" t="s">
        <v>516</v>
      </c>
      <c r="N1" s="119" t="s">
        <v>60</v>
      </c>
      <c r="O1" s="119" t="s">
        <v>61</v>
      </c>
    </row>
    <row r="2" spans="1:15" s="39" customFormat="1" ht="57" customHeight="1" thickTop="1" thickBot="1" x14ac:dyDescent="0.35">
      <c r="A2" s="569" t="s">
        <v>106</v>
      </c>
      <c r="B2" s="569"/>
      <c r="C2" s="569"/>
      <c r="D2" s="569"/>
      <c r="E2" s="569"/>
      <c r="F2" s="570"/>
      <c r="G2" s="569"/>
      <c r="H2" s="569"/>
      <c r="I2" s="569"/>
      <c r="J2" s="569"/>
      <c r="K2" s="569"/>
      <c r="L2" s="569"/>
      <c r="M2" s="569"/>
      <c r="N2" s="569"/>
      <c r="O2" s="569"/>
    </row>
    <row r="3" spans="1:15" ht="96" customHeight="1" thickTop="1" thickBot="1" x14ac:dyDescent="0.35">
      <c r="A3" s="120"/>
      <c r="B3" s="121" t="s">
        <v>107</v>
      </c>
      <c r="C3" s="121" t="s">
        <v>108</v>
      </c>
      <c r="D3" s="121" t="s">
        <v>109</v>
      </c>
      <c r="E3" s="121" t="s">
        <v>345</v>
      </c>
      <c r="F3" s="122" t="s">
        <v>346</v>
      </c>
      <c r="G3" s="123" t="s">
        <v>302</v>
      </c>
      <c r="H3" s="123">
        <v>1</v>
      </c>
      <c r="I3" s="120" t="s">
        <v>74</v>
      </c>
      <c r="J3" s="123">
        <v>1</v>
      </c>
      <c r="K3" s="123">
        <v>1</v>
      </c>
      <c r="L3" s="123">
        <v>1</v>
      </c>
      <c r="M3" s="123">
        <v>1</v>
      </c>
      <c r="N3" s="121" t="s">
        <v>283</v>
      </c>
      <c r="O3" s="124" t="s">
        <v>110</v>
      </c>
    </row>
    <row r="4" spans="1:15" ht="72.599999999999994" customHeight="1" thickTop="1" thickBot="1" x14ac:dyDescent="0.35">
      <c r="A4" s="120"/>
      <c r="B4" s="125" t="s">
        <v>10</v>
      </c>
      <c r="C4" s="126" t="s">
        <v>111</v>
      </c>
      <c r="D4" s="126" t="s">
        <v>112</v>
      </c>
      <c r="E4" s="126" t="s">
        <v>347</v>
      </c>
      <c r="F4" s="40" t="s">
        <v>69</v>
      </c>
      <c r="G4" s="127" t="s">
        <v>113</v>
      </c>
      <c r="H4" s="127">
        <v>4654</v>
      </c>
      <c r="I4" s="125" t="s">
        <v>74</v>
      </c>
      <c r="J4" s="127">
        <v>4654</v>
      </c>
      <c r="K4" s="127">
        <v>4654</v>
      </c>
      <c r="L4" s="127">
        <v>4654</v>
      </c>
      <c r="M4" s="127">
        <v>4654</v>
      </c>
      <c r="N4" s="2" t="s">
        <v>17</v>
      </c>
      <c r="O4" s="125" t="s">
        <v>114</v>
      </c>
    </row>
    <row r="5" spans="1:15" ht="52.95" customHeight="1" thickTop="1" thickBot="1" x14ac:dyDescent="0.35">
      <c r="A5" s="120"/>
      <c r="B5" s="125" t="s">
        <v>10</v>
      </c>
      <c r="C5" s="126" t="s">
        <v>21</v>
      </c>
      <c r="D5" s="126" t="s">
        <v>115</v>
      </c>
      <c r="E5" s="126" t="s">
        <v>348</v>
      </c>
      <c r="F5" s="40" t="s">
        <v>69</v>
      </c>
      <c r="G5" s="127" t="s">
        <v>116</v>
      </c>
      <c r="H5" s="127">
        <v>56905</v>
      </c>
      <c r="I5" s="125" t="s">
        <v>74</v>
      </c>
      <c r="J5" s="127" t="s">
        <v>12</v>
      </c>
      <c r="K5" s="127" t="s">
        <v>12</v>
      </c>
      <c r="L5" s="127" t="s">
        <v>12</v>
      </c>
      <c r="M5" s="127">
        <v>56905</v>
      </c>
      <c r="N5" s="2" t="s">
        <v>281</v>
      </c>
      <c r="O5" s="125" t="s">
        <v>117</v>
      </c>
    </row>
    <row r="6" spans="1:15" ht="81" customHeight="1" thickTop="1" thickBot="1" x14ac:dyDescent="0.35">
      <c r="A6" s="120"/>
      <c r="B6" s="128" t="s">
        <v>62</v>
      </c>
      <c r="C6" s="126" t="s">
        <v>118</v>
      </c>
      <c r="D6" s="126" t="s">
        <v>119</v>
      </c>
      <c r="E6" s="126" t="s">
        <v>349</v>
      </c>
      <c r="F6" s="40" t="s">
        <v>69</v>
      </c>
      <c r="G6" s="127">
        <v>2</v>
      </c>
      <c r="H6" s="126" t="s">
        <v>557</v>
      </c>
      <c r="I6" s="125" t="s">
        <v>74</v>
      </c>
      <c r="J6" s="126" t="s">
        <v>12</v>
      </c>
      <c r="K6" s="126" t="s">
        <v>12</v>
      </c>
      <c r="L6" s="126" t="s">
        <v>12</v>
      </c>
      <c r="M6" s="126" t="s">
        <v>474</v>
      </c>
      <c r="N6" s="2"/>
      <c r="O6" s="125" t="s">
        <v>475</v>
      </c>
    </row>
    <row r="7" spans="1:15" ht="87" customHeight="1" thickTop="1" thickBot="1" x14ac:dyDescent="0.35">
      <c r="A7" s="120"/>
      <c r="B7" s="128" t="s">
        <v>62</v>
      </c>
      <c r="C7" s="126" t="s">
        <v>118</v>
      </c>
      <c r="D7" s="126" t="s">
        <v>119</v>
      </c>
      <c r="E7" s="126" t="s">
        <v>350</v>
      </c>
      <c r="F7" s="40" t="s">
        <v>69</v>
      </c>
      <c r="G7" s="127">
        <v>2</v>
      </c>
      <c r="H7" s="127" t="s">
        <v>558</v>
      </c>
      <c r="I7" s="125" t="s">
        <v>74</v>
      </c>
      <c r="J7" s="127" t="s">
        <v>12</v>
      </c>
      <c r="K7" s="127" t="s">
        <v>12</v>
      </c>
      <c r="L7" s="127" t="s">
        <v>12</v>
      </c>
      <c r="M7" s="127" t="s">
        <v>476</v>
      </c>
      <c r="N7" s="2" t="s">
        <v>76</v>
      </c>
      <c r="O7" s="125" t="s">
        <v>121</v>
      </c>
    </row>
    <row r="8" spans="1:15" ht="111.6" thickTop="1" thickBot="1" x14ac:dyDescent="0.35">
      <c r="A8" s="120"/>
      <c r="B8" s="125" t="s">
        <v>10</v>
      </c>
      <c r="C8" s="126" t="s">
        <v>21</v>
      </c>
      <c r="D8" s="126" t="s">
        <v>122</v>
      </c>
      <c r="E8" s="126" t="s">
        <v>351</v>
      </c>
      <c r="F8" s="40" t="s">
        <v>92</v>
      </c>
      <c r="G8" s="127">
        <v>48</v>
      </c>
      <c r="H8" s="127" t="s">
        <v>477</v>
      </c>
      <c r="I8" s="125" t="s">
        <v>74</v>
      </c>
      <c r="J8" s="127" t="s">
        <v>478</v>
      </c>
      <c r="K8" s="127" t="s">
        <v>478</v>
      </c>
      <c r="L8" s="127" t="s">
        <v>478</v>
      </c>
      <c r="M8" s="127" t="s">
        <v>478</v>
      </c>
      <c r="N8" s="2" t="s">
        <v>50</v>
      </c>
      <c r="O8" s="125" t="s">
        <v>117</v>
      </c>
    </row>
    <row r="9" spans="1:15" s="39" customFormat="1" ht="96.6" customHeight="1" thickTop="1" thickBot="1" x14ac:dyDescent="0.35">
      <c r="A9" s="88" t="s">
        <v>19</v>
      </c>
      <c r="B9" s="2" t="s">
        <v>10</v>
      </c>
      <c r="C9" s="2" t="s">
        <v>123</v>
      </c>
      <c r="D9" s="2" t="s">
        <v>480</v>
      </c>
      <c r="E9" s="2" t="s">
        <v>481</v>
      </c>
      <c r="F9" s="37" t="s">
        <v>64</v>
      </c>
      <c r="G9" s="89">
        <v>43311</v>
      </c>
      <c r="H9" s="88" t="s">
        <v>483</v>
      </c>
      <c r="I9" s="2" t="s">
        <v>124</v>
      </c>
      <c r="J9" s="88" t="s">
        <v>482</v>
      </c>
      <c r="K9" s="2" t="s">
        <v>12</v>
      </c>
      <c r="L9" s="88" t="s">
        <v>12</v>
      </c>
      <c r="M9" s="2" t="s">
        <v>12</v>
      </c>
      <c r="N9" s="2" t="s">
        <v>281</v>
      </c>
      <c r="O9" s="88" t="s">
        <v>484</v>
      </c>
    </row>
    <row r="10" spans="1:15" ht="14.4" thickTop="1" x14ac:dyDescent="0.3"/>
  </sheetData>
  <mergeCells count="1">
    <mergeCell ref="A2:O2"/>
  </mergeCells>
  <pageMargins left="0.70866141732283472" right="0.70866141732283472" top="0.74803149606299213" bottom="0.74803149606299213" header="0.31496062992125984" footer="0.31496062992125984"/>
  <pageSetup paperSize="9" scale="76" fitToHeight="0" orientation="landscape" r:id="rId1"/>
  <headerFooter>
    <oddFooter>&amp;L2019/20 SDBIP&amp;CBASIC SERVICE DELIVERY KPI'S&amp;RPage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9"/>
  <sheetViews>
    <sheetView view="pageBreakPreview" zoomScale="80" zoomScaleNormal="100" zoomScaleSheetLayoutView="80" workbookViewId="0">
      <selection activeCell="AE27" sqref="AE27"/>
    </sheetView>
  </sheetViews>
  <sheetFormatPr defaultColWidth="8.88671875" defaultRowHeight="13.8" x14ac:dyDescent="0.3"/>
  <cols>
    <col min="1" max="1" width="5.6640625" style="3" customWidth="1"/>
    <col min="2" max="2" width="14.6640625" style="3" customWidth="1"/>
    <col min="3" max="3" width="11.5546875" style="3" customWidth="1"/>
    <col min="4" max="4" width="16.33203125" style="3" customWidth="1"/>
    <col min="5" max="5" width="14.109375" style="3" customWidth="1"/>
    <col min="6" max="7" width="8.88671875" style="3"/>
    <col min="8" max="8" width="11.5546875" style="378" customWidth="1"/>
    <col min="9" max="13" width="8.88671875" style="3"/>
    <col min="14" max="14" width="8.33203125" style="3" customWidth="1"/>
    <col min="15" max="16384" width="8.88671875" style="3"/>
  </cols>
  <sheetData>
    <row r="1" spans="1:15" s="39" customFormat="1" ht="67.2" thickTop="1" thickBot="1" x14ac:dyDescent="0.35">
      <c r="A1" s="364" t="s">
        <v>0</v>
      </c>
      <c r="B1" s="365" t="s">
        <v>2</v>
      </c>
      <c r="C1" s="365" t="s">
        <v>386</v>
      </c>
      <c r="D1" s="365" t="s">
        <v>57</v>
      </c>
      <c r="E1" s="365" t="s">
        <v>344</v>
      </c>
      <c r="F1" s="365" t="s">
        <v>58</v>
      </c>
      <c r="G1" s="364" t="s">
        <v>59</v>
      </c>
      <c r="H1" s="364" t="s">
        <v>271</v>
      </c>
      <c r="I1" s="366" t="s">
        <v>512</v>
      </c>
      <c r="J1" s="365" t="s">
        <v>513</v>
      </c>
      <c r="K1" s="365" t="s">
        <v>514</v>
      </c>
      <c r="L1" s="365" t="s">
        <v>515</v>
      </c>
      <c r="M1" s="365" t="s">
        <v>516</v>
      </c>
      <c r="N1" s="365" t="s">
        <v>60</v>
      </c>
      <c r="O1" s="365" t="s">
        <v>61</v>
      </c>
    </row>
    <row r="2" spans="1:15" s="39" customFormat="1" ht="14.4" thickTop="1" x14ac:dyDescent="0.3">
      <c r="A2" s="571" t="s">
        <v>125</v>
      </c>
      <c r="B2" s="572"/>
      <c r="C2" s="572"/>
      <c r="D2" s="572"/>
      <c r="E2" s="572"/>
      <c r="F2" s="572"/>
      <c r="G2" s="572"/>
      <c r="H2" s="572"/>
      <c r="I2" s="572"/>
      <c r="J2" s="572"/>
      <c r="K2" s="572"/>
      <c r="L2" s="572"/>
      <c r="M2" s="572"/>
      <c r="N2" s="572"/>
      <c r="O2" s="573"/>
    </row>
    <row r="3" spans="1:15" s="39" customFormat="1" x14ac:dyDescent="0.3">
      <c r="A3" s="574" t="s">
        <v>55</v>
      </c>
      <c r="B3" s="575"/>
      <c r="C3" s="575"/>
      <c r="D3" s="575"/>
      <c r="E3" s="575"/>
      <c r="F3" s="575"/>
      <c r="G3" s="575"/>
      <c r="H3" s="575"/>
      <c r="I3" s="575"/>
      <c r="J3" s="575"/>
      <c r="K3" s="575"/>
      <c r="L3" s="575"/>
      <c r="M3" s="575"/>
      <c r="N3" s="575"/>
      <c r="O3" s="576"/>
    </row>
    <row r="4" spans="1:15" s="39" customFormat="1" ht="14.4" thickBot="1" x14ac:dyDescent="0.35">
      <c r="A4" s="577" t="s">
        <v>126</v>
      </c>
      <c r="B4" s="578"/>
      <c r="C4" s="578"/>
      <c r="D4" s="578"/>
      <c r="E4" s="578"/>
      <c r="F4" s="578"/>
      <c r="G4" s="578"/>
      <c r="H4" s="578"/>
      <c r="I4" s="578"/>
      <c r="J4" s="578"/>
      <c r="K4" s="578"/>
      <c r="L4" s="578"/>
      <c r="M4" s="578"/>
      <c r="N4" s="578"/>
      <c r="O4" s="579"/>
    </row>
    <row r="5" spans="1:15" ht="45" customHeight="1" thickTop="1" thickBot="1" x14ac:dyDescent="0.35">
      <c r="A5" s="367"/>
      <c r="B5" s="368" t="s">
        <v>62</v>
      </c>
      <c r="C5" s="369" t="s">
        <v>127</v>
      </c>
      <c r="D5" s="370" t="s">
        <v>128</v>
      </c>
      <c r="E5" s="368" t="s">
        <v>354</v>
      </c>
      <c r="F5" s="368" t="s">
        <v>69</v>
      </c>
      <c r="G5" s="368" t="s">
        <v>307</v>
      </c>
      <c r="H5" s="367">
        <v>600</v>
      </c>
      <c r="I5" s="369" t="s">
        <v>65</v>
      </c>
      <c r="J5" s="367">
        <v>150</v>
      </c>
      <c r="K5" s="367">
        <v>150</v>
      </c>
      <c r="L5" s="367">
        <v>150</v>
      </c>
      <c r="M5" s="367">
        <v>150</v>
      </c>
      <c r="N5" s="369" t="s">
        <v>281</v>
      </c>
      <c r="O5" s="369" t="s">
        <v>129</v>
      </c>
    </row>
    <row r="6" spans="1:15" ht="47.4" customHeight="1" thickTop="1" thickBot="1" x14ac:dyDescent="0.35">
      <c r="A6" s="367"/>
      <c r="B6" s="368" t="s">
        <v>62</v>
      </c>
      <c r="C6" s="369" t="s">
        <v>127</v>
      </c>
      <c r="D6" s="370" t="s">
        <v>128</v>
      </c>
      <c r="E6" s="368" t="s">
        <v>355</v>
      </c>
      <c r="F6" s="368" t="s">
        <v>69</v>
      </c>
      <c r="G6" s="371" t="s">
        <v>130</v>
      </c>
      <c r="H6" s="367">
        <v>120</v>
      </c>
      <c r="I6" s="372" t="s">
        <v>65</v>
      </c>
      <c r="J6" s="367">
        <v>30</v>
      </c>
      <c r="K6" s="367">
        <v>30</v>
      </c>
      <c r="L6" s="367">
        <v>30</v>
      </c>
      <c r="M6" s="367">
        <v>30</v>
      </c>
      <c r="N6" s="369"/>
      <c r="O6" s="369" t="s">
        <v>129</v>
      </c>
    </row>
    <row r="7" spans="1:15" s="39" customFormat="1" ht="46.2" customHeight="1" thickTop="1" thickBot="1" x14ac:dyDescent="0.35">
      <c r="A7" s="373"/>
      <c r="B7" s="372" t="s">
        <v>71</v>
      </c>
      <c r="C7" s="372" t="s">
        <v>127</v>
      </c>
      <c r="D7" s="370" t="s">
        <v>128</v>
      </c>
      <c r="E7" s="372" t="s">
        <v>352</v>
      </c>
      <c r="F7" s="372" t="s">
        <v>69</v>
      </c>
      <c r="G7" s="374" t="s">
        <v>131</v>
      </c>
      <c r="H7" s="375">
        <v>12</v>
      </c>
      <c r="I7" s="372" t="s">
        <v>65</v>
      </c>
      <c r="J7" s="375">
        <v>3</v>
      </c>
      <c r="K7" s="375">
        <v>3</v>
      </c>
      <c r="L7" s="375">
        <v>3</v>
      </c>
      <c r="M7" s="375">
        <v>12</v>
      </c>
      <c r="N7" s="372" t="s">
        <v>281</v>
      </c>
      <c r="O7" s="372" t="s">
        <v>132</v>
      </c>
    </row>
    <row r="8" spans="1:15" ht="60" customHeight="1" thickTop="1" thickBot="1" x14ac:dyDescent="0.35">
      <c r="A8" s="376"/>
      <c r="B8" s="369" t="s">
        <v>71</v>
      </c>
      <c r="C8" s="369" t="s">
        <v>127</v>
      </c>
      <c r="D8" s="372" t="s">
        <v>133</v>
      </c>
      <c r="E8" s="369" t="s">
        <v>353</v>
      </c>
      <c r="F8" s="370" t="s">
        <v>69</v>
      </c>
      <c r="G8" s="370" t="s">
        <v>134</v>
      </c>
      <c r="H8" s="376">
        <v>4</v>
      </c>
      <c r="I8" s="372" t="s">
        <v>65</v>
      </c>
      <c r="J8" s="376">
        <v>1</v>
      </c>
      <c r="K8" s="376">
        <v>1</v>
      </c>
      <c r="L8" s="376">
        <v>1</v>
      </c>
      <c r="M8" s="376">
        <v>1</v>
      </c>
      <c r="N8" s="377" t="s">
        <v>283</v>
      </c>
      <c r="O8" s="370" t="s">
        <v>135</v>
      </c>
    </row>
    <row r="9" spans="1:15" ht="14.4" thickTop="1" x14ac:dyDescent="0.3"/>
  </sheetData>
  <mergeCells count="3">
    <mergeCell ref="A2:O2"/>
    <mergeCell ref="A3:O3"/>
    <mergeCell ref="A4:O4"/>
  </mergeCells>
  <pageMargins left="0.70866141732283472" right="0.70866141732283472" top="0.74803149606299213" bottom="0.74803149606299213" header="0.31496062992125984" footer="0.31496062992125984"/>
  <pageSetup paperSize="9" scale="85" fitToHeight="0" orientation="landscape" r:id="rId1"/>
  <headerFooter>
    <oddFooter>&amp;L2019/20 SDBIP&amp;CLOCAL ECONOMIC DEVELOPMENT KPI'S &amp;RPage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7"/>
  <sheetViews>
    <sheetView view="pageBreakPreview" zoomScaleNormal="100" zoomScaleSheetLayoutView="100" workbookViewId="0">
      <selection activeCell="AE27" sqref="AE27"/>
    </sheetView>
  </sheetViews>
  <sheetFormatPr defaultColWidth="8.88671875" defaultRowHeight="10.199999999999999" x14ac:dyDescent="0.2"/>
  <cols>
    <col min="1" max="1" width="4.88671875" style="291" customWidth="1"/>
    <col min="2" max="3" width="8.88671875" style="291"/>
    <col min="4" max="4" width="11.6640625" style="291" customWidth="1"/>
    <col min="5" max="5" width="13.109375" style="291" customWidth="1"/>
    <col min="6" max="6" width="8.88671875" style="291"/>
    <col min="7" max="7" width="9.5546875" style="291" bestFit="1" customWidth="1"/>
    <col min="8" max="8" width="13.88671875" style="291" customWidth="1"/>
    <col min="9" max="9" width="9.109375" style="291" bestFit="1" customWidth="1"/>
    <col min="10" max="13" width="9" style="291" bestFit="1" customWidth="1"/>
    <col min="14" max="14" width="9.33203125" style="291" customWidth="1"/>
    <col min="15" max="16384" width="8.88671875" style="291"/>
  </cols>
  <sheetData>
    <row r="1" spans="1:15" ht="42" thickTop="1" thickBot="1" x14ac:dyDescent="0.25">
      <c r="A1" s="264" t="s">
        <v>0</v>
      </c>
      <c r="B1" s="266" t="s">
        <v>2</v>
      </c>
      <c r="C1" s="266" t="s">
        <v>386</v>
      </c>
      <c r="D1" s="266" t="s">
        <v>57</v>
      </c>
      <c r="E1" s="287" t="s">
        <v>344</v>
      </c>
      <c r="F1" s="288" t="s">
        <v>58</v>
      </c>
      <c r="G1" s="266" t="s">
        <v>59</v>
      </c>
      <c r="H1" s="264" t="s">
        <v>271</v>
      </c>
      <c r="I1" s="265" t="s">
        <v>512</v>
      </c>
      <c r="J1" s="266" t="s">
        <v>513</v>
      </c>
      <c r="K1" s="266" t="s">
        <v>514</v>
      </c>
      <c r="L1" s="266" t="s">
        <v>515</v>
      </c>
      <c r="M1" s="266" t="s">
        <v>516</v>
      </c>
      <c r="N1" s="289" t="s">
        <v>60</v>
      </c>
      <c r="O1" s="290" t="s">
        <v>9</v>
      </c>
    </row>
    <row r="2" spans="1:15" ht="11.4" thickTop="1" thickBot="1" x14ac:dyDescent="0.25">
      <c r="A2" s="580" t="s">
        <v>136</v>
      </c>
      <c r="B2" s="580"/>
      <c r="C2" s="580"/>
      <c r="D2" s="580"/>
      <c r="E2" s="580"/>
      <c r="F2" s="580"/>
      <c r="G2" s="580"/>
      <c r="H2" s="580"/>
      <c r="I2" s="580"/>
      <c r="J2" s="580"/>
      <c r="K2" s="580"/>
      <c r="L2" s="580"/>
      <c r="M2" s="580"/>
      <c r="N2" s="580"/>
      <c r="O2" s="580"/>
    </row>
    <row r="3" spans="1:15" ht="52.2" thickTop="1" thickBot="1" x14ac:dyDescent="0.25">
      <c r="A3" s="292"/>
      <c r="B3" s="8" t="s">
        <v>137</v>
      </c>
      <c r="C3" s="8" t="s">
        <v>138</v>
      </c>
      <c r="D3" s="8" t="s">
        <v>139</v>
      </c>
      <c r="E3" s="8" t="s">
        <v>356</v>
      </c>
      <c r="F3" s="8" t="s">
        <v>321</v>
      </c>
      <c r="G3" s="282">
        <v>0.82</v>
      </c>
      <c r="H3" s="282">
        <v>0.95</v>
      </c>
      <c r="I3" s="293" t="s">
        <v>65</v>
      </c>
      <c r="J3" s="87">
        <v>0.95</v>
      </c>
      <c r="K3" s="87">
        <v>0.95</v>
      </c>
      <c r="L3" s="87">
        <v>0.95</v>
      </c>
      <c r="M3" s="87">
        <v>0.95</v>
      </c>
      <c r="N3" s="11" t="s">
        <v>50</v>
      </c>
      <c r="O3" s="11" t="s">
        <v>140</v>
      </c>
    </row>
    <row r="4" spans="1:15" ht="52.2" thickTop="1" thickBot="1" x14ac:dyDescent="0.25">
      <c r="A4" s="292"/>
      <c r="B4" s="8" t="s">
        <v>137</v>
      </c>
      <c r="C4" s="8" t="s">
        <v>138</v>
      </c>
      <c r="D4" s="8" t="s">
        <v>141</v>
      </c>
      <c r="E4" s="8" t="s">
        <v>357</v>
      </c>
      <c r="F4" s="8" t="s">
        <v>322</v>
      </c>
      <c r="G4" s="282" t="s">
        <v>120</v>
      </c>
      <c r="H4" s="8" t="s">
        <v>870</v>
      </c>
      <c r="I4" s="293" t="s">
        <v>74</v>
      </c>
      <c r="J4" s="8" t="s">
        <v>867</v>
      </c>
      <c r="K4" s="8" t="s">
        <v>868</v>
      </c>
      <c r="L4" s="8" t="s">
        <v>869</v>
      </c>
      <c r="M4" s="8" t="s">
        <v>870</v>
      </c>
      <c r="N4" s="11" t="s">
        <v>50</v>
      </c>
      <c r="O4" s="11" t="s">
        <v>140</v>
      </c>
    </row>
    <row r="5" spans="1:15" ht="52.2" thickTop="1" thickBot="1" x14ac:dyDescent="0.25">
      <c r="A5" s="292"/>
      <c r="B5" s="8" t="s">
        <v>137</v>
      </c>
      <c r="C5" s="8" t="s">
        <v>138</v>
      </c>
      <c r="D5" s="8" t="s">
        <v>142</v>
      </c>
      <c r="E5" s="8" t="s">
        <v>358</v>
      </c>
      <c r="F5" s="8" t="s">
        <v>69</v>
      </c>
      <c r="G5" s="282" t="s">
        <v>234</v>
      </c>
      <c r="H5" s="8">
        <v>4</v>
      </c>
      <c r="I5" s="293" t="s">
        <v>74</v>
      </c>
      <c r="J5" s="11">
        <v>1</v>
      </c>
      <c r="K5" s="11">
        <v>1</v>
      </c>
      <c r="L5" s="11">
        <v>1</v>
      </c>
      <c r="M5" s="11">
        <v>1</v>
      </c>
      <c r="N5" s="11" t="s">
        <v>50</v>
      </c>
      <c r="O5" s="11" t="s">
        <v>140</v>
      </c>
    </row>
    <row r="6" spans="1:15" ht="42" thickTop="1" thickBot="1" x14ac:dyDescent="0.25">
      <c r="A6" s="292"/>
      <c r="B6" s="8" t="s">
        <v>137</v>
      </c>
      <c r="C6" s="8" t="s">
        <v>143</v>
      </c>
      <c r="D6" s="8" t="s">
        <v>144</v>
      </c>
      <c r="E6" s="8" t="s">
        <v>359</v>
      </c>
      <c r="F6" s="8" t="s">
        <v>69</v>
      </c>
      <c r="G6" s="11">
        <v>2265</v>
      </c>
      <c r="H6" s="294">
        <v>1500</v>
      </c>
      <c r="I6" s="295" t="s">
        <v>74</v>
      </c>
      <c r="J6" s="294" t="s">
        <v>12</v>
      </c>
      <c r="K6" s="294" t="s">
        <v>12</v>
      </c>
      <c r="L6" s="294" t="s">
        <v>12</v>
      </c>
      <c r="M6" s="294">
        <v>1500</v>
      </c>
      <c r="N6" s="11"/>
      <c r="O6" s="11" t="s">
        <v>145</v>
      </c>
    </row>
    <row r="7" spans="1:15" ht="72.599999999999994" thickTop="1" thickBot="1" x14ac:dyDescent="0.25">
      <c r="A7" s="296"/>
      <c r="B7" s="297" t="s">
        <v>137</v>
      </c>
      <c r="C7" s="297" t="s">
        <v>146</v>
      </c>
      <c r="D7" s="297" t="s">
        <v>147</v>
      </c>
      <c r="E7" s="297" t="s">
        <v>148</v>
      </c>
      <c r="F7" s="297" t="s">
        <v>69</v>
      </c>
      <c r="G7" s="298">
        <v>4</v>
      </c>
      <c r="H7" s="298">
        <v>4</v>
      </c>
      <c r="I7" s="299" t="s">
        <v>74</v>
      </c>
      <c r="J7" s="298">
        <v>1</v>
      </c>
      <c r="K7" s="298">
        <v>1</v>
      </c>
      <c r="L7" s="298">
        <v>1</v>
      </c>
      <c r="M7" s="298">
        <v>1</v>
      </c>
      <c r="N7" s="11" t="s">
        <v>50</v>
      </c>
      <c r="O7" s="300" t="s">
        <v>149</v>
      </c>
    </row>
    <row r="8" spans="1:15" ht="72.599999999999994" thickTop="1" thickBot="1" x14ac:dyDescent="0.25">
      <c r="A8" s="296"/>
      <c r="B8" s="297" t="s">
        <v>137</v>
      </c>
      <c r="C8" s="297" t="s">
        <v>146</v>
      </c>
      <c r="D8" s="297" t="s">
        <v>150</v>
      </c>
      <c r="E8" s="297" t="s">
        <v>360</v>
      </c>
      <c r="F8" s="297" t="s">
        <v>64</v>
      </c>
      <c r="G8" s="285">
        <v>43555</v>
      </c>
      <c r="H8" s="278" t="s">
        <v>545</v>
      </c>
      <c r="I8" s="299" t="s">
        <v>74</v>
      </c>
      <c r="J8" s="278" t="s">
        <v>12</v>
      </c>
      <c r="K8" s="278" t="s">
        <v>12</v>
      </c>
      <c r="L8" s="278" t="s">
        <v>545</v>
      </c>
      <c r="M8" s="278" t="s">
        <v>546</v>
      </c>
      <c r="N8" s="11" t="s">
        <v>50</v>
      </c>
      <c r="O8" s="300" t="s">
        <v>151</v>
      </c>
    </row>
    <row r="9" spans="1:15" ht="72.599999999999994" thickTop="1" thickBot="1" x14ac:dyDescent="0.25">
      <c r="A9" s="296"/>
      <c r="B9" s="297" t="s">
        <v>137</v>
      </c>
      <c r="C9" s="297" t="s">
        <v>146</v>
      </c>
      <c r="D9" s="297" t="s">
        <v>150</v>
      </c>
      <c r="E9" s="297" t="s">
        <v>361</v>
      </c>
      <c r="F9" s="297" t="s">
        <v>64</v>
      </c>
      <c r="G9" s="278" t="s">
        <v>152</v>
      </c>
      <c r="H9" s="278" t="s">
        <v>547</v>
      </c>
      <c r="I9" s="299" t="s">
        <v>74</v>
      </c>
      <c r="J9" s="278" t="s">
        <v>12</v>
      </c>
      <c r="K9" s="278" t="s">
        <v>12</v>
      </c>
      <c r="L9" s="278" t="s">
        <v>12</v>
      </c>
      <c r="M9" s="278" t="s">
        <v>547</v>
      </c>
      <c r="N9" s="11" t="s">
        <v>50</v>
      </c>
      <c r="O9" s="300" t="s">
        <v>153</v>
      </c>
    </row>
    <row r="10" spans="1:15" ht="72.599999999999994" thickTop="1" thickBot="1" x14ac:dyDescent="0.25">
      <c r="A10" s="296"/>
      <c r="B10" s="297" t="s">
        <v>137</v>
      </c>
      <c r="C10" s="297" t="s">
        <v>146</v>
      </c>
      <c r="D10" s="297" t="s">
        <v>150</v>
      </c>
      <c r="E10" s="297" t="s">
        <v>362</v>
      </c>
      <c r="F10" s="297" t="s">
        <v>64</v>
      </c>
      <c r="G10" s="285">
        <v>43524</v>
      </c>
      <c r="H10" s="278" t="s">
        <v>548</v>
      </c>
      <c r="I10" s="299" t="s">
        <v>74</v>
      </c>
      <c r="J10" s="278" t="s">
        <v>12</v>
      </c>
      <c r="K10" s="278" t="s">
        <v>12</v>
      </c>
      <c r="L10" s="278" t="s">
        <v>548</v>
      </c>
      <c r="M10" s="278" t="s">
        <v>12</v>
      </c>
      <c r="N10" s="11" t="s">
        <v>50</v>
      </c>
      <c r="O10" s="300" t="s">
        <v>154</v>
      </c>
    </row>
    <row r="11" spans="1:15" ht="62.4" thickTop="1" thickBot="1" x14ac:dyDescent="0.25">
      <c r="A11" s="296"/>
      <c r="B11" s="297" t="s">
        <v>137</v>
      </c>
      <c r="C11" s="297" t="s">
        <v>146</v>
      </c>
      <c r="D11" s="297" t="s">
        <v>150</v>
      </c>
      <c r="E11" s="297" t="s">
        <v>363</v>
      </c>
      <c r="F11" s="297" t="s">
        <v>64</v>
      </c>
      <c r="G11" s="285">
        <v>43343</v>
      </c>
      <c r="H11" s="278" t="s">
        <v>549</v>
      </c>
      <c r="I11" s="299" t="s">
        <v>74</v>
      </c>
      <c r="J11" s="278" t="s">
        <v>549</v>
      </c>
      <c r="K11" s="278" t="s">
        <v>12</v>
      </c>
      <c r="L11" s="278" t="s">
        <v>12</v>
      </c>
      <c r="M11" s="278" t="s">
        <v>12</v>
      </c>
      <c r="N11" s="11" t="s">
        <v>50</v>
      </c>
      <c r="O11" s="300" t="s">
        <v>155</v>
      </c>
    </row>
    <row r="12" spans="1:15" ht="62.4" thickTop="1" thickBot="1" x14ac:dyDescent="0.25">
      <c r="A12" s="296"/>
      <c r="B12" s="297" t="s">
        <v>137</v>
      </c>
      <c r="C12" s="297" t="s">
        <v>146</v>
      </c>
      <c r="D12" s="297" t="s">
        <v>150</v>
      </c>
      <c r="E12" s="297" t="s">
        <v>550</v>
      </c>
      <c r="F12" s="297" t="s">
        <v>69</v>
      </c>
      <c r="G12" s="301" t="s">
        <v>551</v>
      </c>
      <c r="H12" s="301">
        <v>12</v>
      </c>
      <c r="I12" s="299" t="s">
        <v>74</v>
      </c>
      <c r="J12" s="300">
        <v>3</v>
      </c>
      <c r="K12" s="300">
        <v>3</v>
      </c>
      <c r="L12" s="300">
        <v>3</v>
      </c>
      <c r="M12" s="300">
        <v>3</v>
      </c>
      <c r="N12" s="11" t="s">
        <v>50</v>
      </c>
      <c r="O12" s="300" t="s">
        <v>156</v>
      </c>
    </row>
    <row r="13" spans="1:15" ht="62.4" thickTop="1" thickBot="1" x14ac:dyDescent="0.25">
      <c r="A13" s="296"/>
      <c r="B13" s="297" t="s">
        <v>137</v>
      </c>
      <c r="C13" s="297" t="s">
        <v>146</v>
      </c>
      <c r="D13" s="297" t="s">
        <v>150</v>
      </c>
      <c r="E13" s="297" t="s">
        <v>364</v>
      </c>
      <c r="F13" s="297" t="s">
        <v>64</v>
      </c>
      <c r="G13" s="278" t="s">
        <v>157</v>
      </c>
      <c r="H13" s="278" t="s">
        <v>552</v>
      </c>
      <c r="I13" s="299" t="s">
        <v>74</v>
      </c>
      <c r="J13" s="278" t="s">
        <v>12</v>
      </c>
      <c r="K13" s="278" t="s">
        <v>12</v>
      </c>
      <c r="L13" s="302" t="s">
        <v>158</v>
      </c>
      <c r="M13" s="278" t="s">
        <v>553</v>
      </c>
      <c r="N13" s="11" t="s">
        <v>50</v>
      </c>
      <c r="O13" s="300" t="s">
        <v>159</v>
      </c>
    </row>
    <row r="14" spans="1:15" ht="52.2" thickTop="1" thickBot="1" x14ac:dyDescent="0.25">
      <c r="A14" s="296"/>
      <c r="B14" s="297" t="s">
        <v>137</v>
      </c>
      <c r="C14" s="297" t="s">
        <v>146</v>
      </c>
      <c r="D14" s="297" t="s">
        <v>150</v>
      </c>
      <c r="E14" s="297" t="s">
        <v>324</v>
      </c>
      <c r="F14" s="297" t="s">
        <v>69</v>
      </c>
      <c r="G14" s="301" t="s">
        <v>160</v>
      </c>
      <c r="H14" s="301">
        <v>12</v>
      </c>
      <c r="I14" s="299" t="s">
        <v>161</v>
      </c>
      <c r="J14" s="303">
        <v>3</v>
      </c>
      <c r="K14" s="303">
        <v>3</v>
      </c>
      <c r="L14" s="303">
        <v>3</v>
      </c>
      <c r="M14" s="303">
        <v>3</v>
      </c>
      <c r="N14" s="11" t="s">
        <v>50</v>
      </c>
      <c r="O14" s="300" t="s">
        <v>140</v>
      </c>
    </row>
    <row r="15" spans="1:15" ht="72.599999999999994" thickTop="1" thickBot="1" x14ac:dyDescent="0.25">
      <c r="A15" s="296"/>
      <c r="B15" s="297" t="s">
        <v>137</v>
      </c>
      <c r="C15" s="297" t="s">
        <v>146</v>
      </c>
      <c r="D15" s="297" t="s">
        <v>150</v>
      </c>
      <c r="E15" s="297" t="s">
        <v>323</v>
      </c>
      <c r="F15" s="297" t="s">
        <v>64</v>
      </c>
      <c r="G15" s="302" t="s">
        <v>162</v>
      </c>
      <c r="H15" s="297" t="s">
        <v>554</v>
      </c>
      <c r="I15" s="299" t="s">
        <v>74</v>
      </c>
      <c r="J15" s="302" t="s">
        <v>485</v>
      </c>
      <c r="K15" s="302" t="s">
        <v>485</v>
      </c>
      <c r="L15" s="302" t="s">
        <v>485</v>
      </c>
      <c r="M15" s="302" t="s">
        <v>485</v>
      </c>
      <c r="N15" s="11" t="s">
        <v>50</v>
      </c>
      <c r="O15" s="300" t="s">
        <v>163</v>
      </c>
    </row>
    <row r="16" spans="1:15" ht="133.80000000000001" thickTop="1" thickBot="1" x14ac:dyDescent="0.25">
      <c r="A16" s="296"/>
      <c r="B16" s="297" t="s">
        <v>137</v>
      </c>
      <c r="C16" s="297" t="s">
        <v>164</v>
      </c>
      <c r="D16" s="297" t="s">
        <v>165</v>
      </c>
      <c r="E16" s="297" t="s">
        <v>325</v>
      </c>
      <c r="F16" s="297" t="s">
        <v>64</v>
      </c>
      <c r="G16" s="278" t="s">
        <v>555</v>
      </c>
      <c r="H16" s="278" t="s">
        <v>556</v>
      </c>
      <c r="I16" s="299" t="s">
        <v>74</v>
      </c>
      <c r="J16" s="278" t="s">
        <v>556</v>
      </c>
      <c r="K16" s="278" t="s">
        <v>12</v>
      </c>
      <c r="L16" s="278" t="s">
        <v>12</v>
      </c>
      <c r="M16" s="278" t="s">
        <v>12</v>
      </c>
      <c r="N16" s="11" t="s">
        <v>76</v>
      </c>
      <c r="O16" s="300" t="s">
        <v>166</v>
      </c>
    </row>
    <row r="17" spans="1:15" ht="72.599999999999994" thickTop="1" thickBot="1" x14ac:dyDescent="0.25">
      <c r="A17" s="296"/>
      <c r="B17" s="297" t="s">
        <v>137</v>
      </c>
      <c r="C17" s="297" t="s">
        <v>164</v>
      </c>
      <c r="D17" s="297" t="s">
        <v>167</v>
      </c>
      <c r="E17" s="297" t="s">
        <v>365</v>
      </c>
      <c r="F17" s="297" t="s">
        <v>92</v>
      </c>
      <c r="G17" s="302" t="s">
        <v>168</v>
      </c>
      <c r="H17" s="302" t="s">
        <v>168</v>
      </c>
      <c r="I17" s="299" t="s">
        <v>74</v>
      </c>
      <c r="J17" s="302" t="s">
        <v>486</v>
      </c>
      <c r="K17" s="302" t="s">
        <v>486</v>
      </c>
      <c r="L17" s="302" t="s">
        <v>486</v>
      </c>
      <c r="M17" s="302" t="s">
        <v>486</v>
      </c>
      <c r="N17" s="11" t="s">
        <v>50</v>
      </c>
      <c r="O17" s="300" t="s">
        <v>169</v>
      </c>
    </row>
    <row r="18" spans="1:15" ht="52.2" thickTop="1" thickBot="1" x14ac:dyDescent="0.25">
      <c r="A18" s="296"/>
      <c r="B18" s="297" t="s">
        <v>137</v>
      </c>
      <c r="C18" s="297" t="s">
        <v>170</v>
      </c>
      <c r="D18" s="297" t="s">
        <v>150</v>
      </c>
      <c r="E18" s="297" t="s">
        <v>326</v>
      </c>
      <c r="F18" s="297" t="s">
        <v>96</v>
      </c>
      <c r="G18" s="298">
        <v>2</v>
      </c>
      <c r="H18" s="303">
        <v>2</v>
      </c>
      <c r="I18" s="299" t="s">
        <v>74</v>
      </c>
      <c r="J18" s="303" t="s">
        <v>12</v>
      </c>
      <c r="K18" s="303">
        <v>1</v>
      </c>
      <c r="L18" s="303" t="s">
        <v>12</v>
      </c>
      <c r="M18" s="303">
        <v>1</v>
      </c>
      <c r="N18" s="11" t="s">
        <v>50</v>
      </c>
      <c r="O18" s="300" t="s">
        <v>171</v>
      </c>
    </row>
    <row r="19" spans="1:15" ht="72.599999999999994" thickTop="1" thickBot="1" x14ac:dyDescent="0.25">
      <c r="A19" s="296"/>
      <c r="B19" s="297" t="s">
        <v>137</v>
      </c>
      <c r="C19" s="297" t="s">
        <v>23</v>
      </c>
      <c r="D19" s="297" t="s">
        <v>172</v>
      </c>
      <c r="E19" s="297" t="s">
        <v>366</v>
      </c>
      <c r="F19" s="297" t="s">
        <v>327</v>
      </c>
      <c r="G19" s="278" t="s">
        <v>120</v>
      </c>
      <c r="H19" s="303" t="s">
        <v>735</v>
      </c>
      <c r="I19" s="299" t="s">
        <v>173</v>
      </c>
      <c r="J19" s="303" t="s">
        <v>736</v>
      </c>
      <c r="K19" s="303" t="s">
        <v>737</v>
      </c>
      <c r="L19" s="303" t="s">
        <v>738</v>
      </c>
      <c r="M19" s="303" t="s">
        <v>739</v>
      </c>
      <c r="N19" s="11" t="s">
        <v>479</v>
      </c>
      <c r="O19" s="300" t="s">
        <v>140</v>
      </c>
    </row>
    <row r="20" spans="1:15" ht="72.599999999999994" thickTop="1" thickBot="1" x14ac:dyDescent="0.25">
      <c r="A20" s="292"/>
      <c r="B20" s="8" t="s">
        <v>137</v>
      </c>
      <c r="C20" s="8" t="s">
        <v>143</v>
      </c>
      <c r="D20" s="8" t="s">
        <v>172</v>
      </c>
      <c r="E20" s="8" t="s">
        <v>328</v>
      </c>
      <c r="F20" s="8" t="s">
        <v>92</v>
      </c>
      <c r="G20" s="278">
        <v>1</v>
      </c>
      <c r="H20" s="87" t="s">
        <v>740</v>
      </c>
      <c r="I20" s="295" t="s">
        <v>173</v>
      </c>
      <c r="J20" s="87" t="s">
        <v>741</v>
      </c>
      <c r="K20" s="87" t="s">
        <v>742</v>
      </c>
      <c r="L20" s="87" t="s">
        <v>743</v>
      </c>
      <c r="M20" s="87" t="s">
        <v>744</v>
      </c>
      <c r="N20" s="11" t="s">
        <v>50</v>
      </c>
      <c r="O20" s="11" t="s">
        <v>140</v>
      </c>
    </row>
    <row r="21" spans="1:15" s="306" customFormat="1" ht="72.599999999999994" thickTop="1" thickBot="1" x14ac:dyDescent="0.25">
      <c r="A21" s="304"/>
      <c r="B21" s="7" t="s">
        <v>137</v>
      </c>
      <c r="C21" s="7" t="s">
        <v>143</v>
      </c>
      <c r="D21" s="7" t="s">
        <v>172</v>
      </c>
      <c r="E21" s="7" t="s">
        <v>329</v>
      </c>
      <c r="F21" s="7" t="s">
        <v>92</v>
      </c>
      <c r="G21" s="278" t="s">
        <v>120</v>
      </c>
      <c r="H21" s="278" t="s">
        <v>745</v>
      </c>
      <c r="I21" s="305" t="s">
        <v>65</v>
      </c>
      <c r="J21" s="278" t="s">
        <v>746</v>
      </c>
      <c r="K21" s="278" t="s">
        <v>747</v>
      </c>
      <c r="L21" s="278" t="s">
        <v>748</v>
      </c>
      <c r="M21" s="278" t="s">
        <v>745</v>
      </c>
      <c r="N21" s="10" t="s">
        <v>50</v>
      </c>
      <c r="O21" s="10" t="s">
        <v>140</v>
      </c>
    </row>
    <row r="22" spans="1:15" ht="72.599999999999994" thickTop="1" thickBot="1" x14ac:dyDescent="0.25">
      <c r="A22" s="292"/>
      <c r="B22" s="8" t="s">
        <v>137</v>
      </c>
      <c r="C22" s="8" t="s">
        <v>143</v>
      </c>
      <c r="D22" s="8" t="s">
        <v>172</v>
      </c>
      <c r="E22" s="8" t="s">
        <v>367</v>
      </c>
      <c r="F22" s="8" t="s">
        <v>92</v>
      </c>
      <c r="G22" s="87">
        <v>1</v>
      </c>
      <c r="H22" s="87" t="s">
        <v>749</v>
      </c>
      <c r="I22" s="295" t="s">
        <v>173</v>
      </c>
      <c r="J22" s="87" t="s">
        <v>750</v>
      </c>
      <c r="K22" s="87" t="s">
        <v>751</v>
      </c>
      <c r="L22" s="87" t="s">
        <v>752</v>
      </c>
      <c r="M22" s="87" t="s">
        <v>753</v>
      </c>
      <c r="N22" s="87" t="s">
        <v>479</v>
      </c>
      <c r="O22" s="11" t="s">
        <v>140</v>
      </c>
    </row>
    <row r="23" spans="1:15" ht="72.599999999999994" thickTop="1" thickBot="1" x14ac:dyDescent="0.25">
      <c r="A23" s="8" t="s">
        <v>137</v>
      </c>
      <c r="B23" s="8" t="s">
        <v>143</v>
      </c>
      <c r="C23" s="8" t="s">
        <v>143</v>
      </c>
      <c r="D23" s="8" t="s">
        <v>172</v>
      </c>
      <c r="E23" s="8" t="s">
        <v>368</v>
      </c>
      <c r="F23" s="87" t="s">
        <v>92</v>
      </c>
      <c r="G23" s="87">
        <v>0</v>
      </c>
      <c r="H23" s="87" t="s">
        <v>754</v>
      </c>
      <c r="I23" s="87" t="s">
        <v>173</v>
      </c>
      <c r="J23" s="87" t="s">
        <v>755</v>
      </c>
      <c r="K23" s="87" t="s">
        <v>756</v>
      </c>
      <c r="L23" s="87" t="s">
        <v>757</v>
      </c>
      <c r="M23" s="87" t="s">
        <v>758</v>
      </c>
      <c r="N23" s="87" t="s">
        <v>479</v>
      </c>
      <c r="O23" s="307" t="s">
        <v>140</v>
      </c>
    </row>
    <row r="24" spans="1:15" s="306" customFormat="1" ht="72.599999999999994" thickTop="1" thickBot="1" x14ac:dyDescent="0.25">
      <c r="A24" s="304"/>
      <c r="B24" s="7" t="s">
        <v>137</v>
      </c>
      <c r="C24" s="7" t="s">
        <v>143</v>
      </c>
      <c r="D24" s="7" t="s">
        <v>172</v>
      </c>
      <c r="E24" s="7" t="s">
        <v>369</v>
      </c>
      <c r="F24" s="7" t="s">
        <v>92</v>
      </c>
      <c r="G24" s="278" t="s">
        <v>290</v>
      </c>
      <c r="H24" s="278" t="s">
        <v>759</v>
      </c>
      <c r="I24" s="305" t="s">
        <v>74</v>
      </c>
      <c r="J24" s="278" t="s">
        <v>760</v>
      </c>
      <c r="K24" s="278" t="s">
        <v>761</v>
      </c>
      <c r="L24" s="278" t="s">
        <v>762</v>
      </c>
      <c r="M24" s="278" t="s">
        <v>763</v>
      </c>
      <c r="N24" s="10" t="s">
        <v>50</v>
      </c>
      <c r="O24" s="10" t="s">
        <v>140</v>
      </c>
    </row>
    <row r="25" spans="1:15" ht="72.599999999999994" thickTop="1" thickBot="1" x14ac:dyDescent="0.25">
      <c r="A25" s="292"/>
      <c r="B25" s="8" t="s">
        <v>137</v>
      </c>
      <c r="C25" s="8" t="s">
        <v>143</v>
      </c>
      <c r="D25" s="8" t="s">
        <v>172</v>
      </c>
      <c r="E25" s="8" t="s">
        <v>370</v>
      </c>
      <c r="F25" s="8" t="s">
        <v>92</v>
      </c>
      <c r="G25" s="87">
        <v>1</v>
      </c>
      <c r="H25" s="87" t="s">
        <v>764</v>
      </c>
      <c r="I25" s="295" t="s">
        <v>74</v>
      </c>
      <c r="J25" s="87" t="s">
        <v>765</v>
      </c>
      <c r="K25" s="87" t="s">
        <v>766</v>
      </c>
      <c r="L25" s="87" t="s">
        <v>767</v>
      </c>
      <c r="M25" s="87" t="s">
        <v>764</v>
      </c>
      <c r="N25" s="87" t="s">
        <v>479</v>
      </c>
      <c r="O25" s="11" t="s">
        <v>140</v>
      </c>
    </row>
    <row r="26" spans="1:15" s="306" customFormat="1" ht="72.599999999999994" thickTop="1" thickBot="1" x14ac:dyDescent="0.25">
      <c r="A26" s="308"/>
      <c r="B26" s="7" t="s">
        <v>137</v>
      </c>
      <c r="C26" s="7" t="s">
        <v>143</v>
      </c>
      <c r="D26" s="7" t="s">
        <v>172</v>
      </c>
      <c r="E26" s="7" t="s">
        <v>371</v>
      </c>
      <c r="F26" s="7" t="s">
        <v>92</v>
      </c>
      <c r="G26" s="278">
        <v>1.02</v>
      </c>
      <c r="H26" s="278" t="s">
        <v>768</v>
      </c>
      <c r="I26" s="305" t="s">
        <v>74</v>
      </c>
      <c r="J26" s="278" t="s">
        <v>769</v>
      </c>
      <c r="K26" s="278" t="s">
        <v>770</v>
      </c>
      <c r="L26" s="278" t="s">
        <v>771</v>
      </c>
      <c r="M26" s="278" t="s">
        <v>768</v>
      </c>
      <c r="N26" s="278" t="s">
        <v>50</v>
      </c>
      <c r="O26" s="10" t="s">
        <v>140</v>
      </c>
    </row>
    <row r="27" spans="1:15" ht="10.8" thickTop="1" x14ac:dyDescent="0.2"/>
  </sheetData>
  <mergeCells count="1">
    <mergeCell ref="A2:O2"/>
  </mergeCells>
  <pageMargins left="0.70866141732283472" right="0.70866141732283472" top="0.74803149606299213" bottom="0.74803149606299213" header="0.31496062992125984" footer="0.31496062992125984"/>
  <pageSetup paperSize="9" scale="90" fitToHeight="0" orientation="landscape" r:id="rId1"/>
  <headerFooter>
    <oddFooter>&amp;L2019/20 SDBIP&amp;CMUNICIPAL FINANCIAL VIABILITY KPI'S &amp;RPage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17"/>
  <sheetViews>
    <sheetView view="pageBreakPreview" topLeftCell="A9" zoomScale="84" zoomScaleNormal="100" zoomScaleSheetLayoutView="84" workbookViewId="0">
      <selection activeCell="AE27" sqref="AE27"/>
    </sheetView>
  </sheetViews>
  <sheetFormatPr defaultColWidth="8.88671875" defaultRowHeight="10.199999999999999" x14ac:dyDescent="0.2"/>
  <cols>
    <col min="1" max="1" width="4.6640625" style="315" customWidth="1"/>
    <col min="2" max="2" width="13.33203125" style="315" customWidth="1"/>
    <col min="3" max="3" width="8.88671875" style="315"/>
    <col min="4" max="4" width="12.33203125" style="315" customWidth="1"/>
    <col min="5" max="5" width="13" style="315" customWidth="1"/>
    <col min="6" max="6" width="13.33203125" style="315" customWidth="1"/>
    <col min="7" max="7" width="8.88671875" style="315"/>
    <col min="8" max="8" width="13.109375" style="315" customWidth="1"/>
    <col min="9" max="12" width="8.88671875" style="315"/>
    <col min="13" max="13" width="8.33203125" style="315" customWidth="1"/>
    <col min="14" max="14" width="10.88671875" style="315" customWidth="1"/>
    <col min="15" max="16384" width="8.88671875" style="315"/>
  </cols>
  <sheetData>
    <row r="1" spans="1:15" s="291" customFormat="1" ht="42" thickTop="1" thickBot="1" x14ac:dyDescent="0.25">
      <c r="A1" s="43" t="s">
        <v>0</v>
      </c>
      <c r="B1" s="44" t="s">
        <v>2</v>
      </c>
      <c r="C1" s="44" t="s">
        <v>175</v>
      </c>
      <c r="D1" s="44" t="s">
        <v>57</v>
      </c>
      <c r="E1" s="44" t="s">
        <v>344</v>
      </c>
      <c r="F1" s="44" t="s">
        <v>58</v>
      </c>
      <c r="G1" s="43" t="s">
        <v>176</v>
      </c>
      <c r="H1" s="43" t="s">
        <v>271</v>
      </c>
      <c r="I1" s="45" t="s">
        <v>512</v>
      </c>
      <c r="J1" s="44" t="s">
        <v>513</v>
      </c>
      <c r="K1" s="44" t="s">
        <v>514</v>
      </c>
      <c r="L1" s="44" t="s">
        <v>515</v>
      </c>
      <c r="M1" s="44" t="s">
        <v>516</v>
      </c>
      <c r="N1" s="44" t="s">
        <v>60</v>
      </c>
      <c r="O1" s="309" t="s">
        <v>9</v>
      </c>
    </row>
    <row r="2" spans="1:15" s="291" customFormat="1" ht="40.200000000000003" customHeight="1" thickTop="1" thickBot="1" x14ac:dyDescent="0.25">
      <c r="A2" s="581" t="s">
        <v>174</v>
      </c>
      <c r="B2" s="581"/>
      <c r="C2" s="581"/>
      <c r="D2" s="581"/>
      <c r="E2" s="581"/>
      <c r="F2" s="581"/>
      <c r="G2" s="581"/>
      <c r="H2" s="581"/>
      <c r="I2" s="581"/>
      <c r="J2" s="581"/>
      <c r="K2" s="581"/>
      <c r="L2" s="581"/>
      <c r="M2" s="581"/>
      <c r="N2" s="581"/>
      <c r="O2" s="310"/>
    </row>
    <row r="3" spans="1:15" ht="52.2" thickTop="1" thickBot="1" x14ac:dyDescent="0.25">
      <c r="A3" s="4"/>
      <c r="B3" s="6" t="s">
        <v>62</v>
      </c>
      <c r="C3" s="6" t="s">
        <v>177</v>
      </c>
      <c r="D3" s="7" t="s">
        <v>178</v>
      </c>
      <c r="E3" s="311" t="s">
        <v>330</v>
      </c>
      <c r="F3" s="312" t="s">
        <v>69</v>
      </c>
      <c r="G3" s="11" t="s">
        <v>179</v>
      </c>
      <c r="H3" s="294">
        <v>4</v>
      </c>
      <c r="I3" s="313" t="s">
        <v>74</v>
      </c>
      <c r="J3" s="294">
        <v>1</v>
      </c>
      <c r="K3" s="294">
        <v>1</v>
      </c>
      <c r="L3" s="294">
        <v>1</v>
      </c>
      <c r="M3" s="294">
        <v>1</v>
      </c>
      <c r="N3" s="6" t="s">
        <v>66</v>
      </c>
      <c r="O3" s="314" t="s">
        <v>180</v>
      </c>
    </row>
    <row r="4" spans="1:15" ht="52.2" thickTop="1" thickBot="1" x14ac:dyDescent="0.25">
      <c r="A4" s="316"/>
      <c r="B4" s="5" t="s">
        <v>62</v>
      </c>
      <c r="C4" s="6" t="s">
        <v>177</v>
      </c>
      <c r="D4" s="7" t="s">
        <v>181</v>
      </c>
      <c r="E4" s="5" t="s">
        <v>331</v>
      </c>
      <c r="F4" s="312" t="s">
        <v>69</v>
      </c>
      <c r="G4" s="298" t="s">
        <v>182</v>
      </c>
      <c r="H4" s="317">
        <v>4</v>
      </c>
      <c r="I4" s="318" t="s">
        <v>74</v>
      </c>
      <c r="J4" s="317">
        <v>1</v>
      </c>
      <c r="K4" s="317">
        <v>1</v>
      </c>
      <c r="L4" s="317">
        <v>1</v>
      </c>
      <c r="M4" s="317">
        <v>1</v>
      </c>
      <c r="N4" s="319" t="s">
        <v>66</v>
      </c>
      <c r="O4" s="314" t="s">
        <v>180</v>
      </c>
    </row>
    <row r="5" spans="1:15" ht="52.2" thickTop="1" thickBot="1" x14ac:dyDescent="0.25">
      <c r="A5" s="316"/>
      <c r="B5" s="5" t="s">
        <v>62</v>
      </c>
      <c r="C5" s="5" t="s">
        <v>183</v>
      </c>
      <c r="D5" s="7" t="s">
        <v>178</v>
      </c>
      <c r="E5" s="5" t="s">
        <v>372</v>
      </c>
      <c r="F5" s="312" t="s">
        <v>69</v>
      </c>
      <c r="G5" s="294" t="s">
        <v>184</v>
      </c>
      <c r="H5" s="294">
        <v>360</v>
      </c>
      <c r="I5" s="313" t="s">
        <v>74</v>
      </c>
      <c r="J5" s="294">
        <v>90</v>
      </c>
      <c r="K5" s="294">
        <v>90</v>
      </c>
      <c r="L5" s="294">
        <v>90</v>
      </c>
      <c r="M5" s="294">
        <v>90</v>
      </c>
      <c r="N5" s="319" t="s">
        <v>185</v>
      </c>
      <c r="O5" s="314" t="s">
        <v>180</v>
      </c>
    </row>
    <row r="6" spans="1:15" ht="42" thickTop="1" thickBot="1" x14ac:dyDescent="0.25">
      <c r="A6" s="316"/>
      <c r="B6" s="5" t="s">
        <v>62</v>
      </c>
      <c r="C6" s="5" t="s">
        <v>183</v>
      </c>
      <c r="D6" s="7" t="s">
        <v>186</v>
      </c>
      <c r="E6" s="5" t="s">
        <v>332</v>
      </c>
      <c r="F6" s="312" t="s">
        <v>69</v>
      </c>
      <c r="G6" s="317" t="s">
        <v>187</v>
      </c>
      <c r="H6" s="298">
        <v>12</v>
      </c>
      <c r="I6" s="318" t="s">
        <v>74</v>
      </c>
      <c r="J6" s="298">
        <v>3</v>
      </c>
      <c r="K6" s="298">
        <v>3</v>
      </c>
      <c r="L6" s="298">
        <v>3</v>
      </c>
      <c r="M6" s="298">
        <v>3</v>
      </c>
      <c r="N6" s="319"/>
      <c r="O6" s="314" t="s">
        <v>180</v>
      </c>
    </row>
    <row r="7" spans="1:15" ht="42" thickTop="1" thickBot="1" x14ac:dyDescent="0.25">
      <c r="A7" s="316"/>
      <c r="B7" s="5" t="s">
        <v>62</v>
      </c>
      <c r="C7" s="5" t="s">
        <v>188</v>
      </c>
      <c r="D7" s="7" t="s">
        <v>186</v>
      </c>
      <c r="E7" s="5" t="s">
        <v>333</v>
      </c>
      <c r="F7" s="312" t="s">
        <v>69</v>
      </c>
      <c r="G7" s="298" t="s">
        <v>189</v>
      </c>
      <c r="H7" s="298">
        <v>12</v>
      </c>
      <c r="I7" s="318" t="s">
        <v>74</v>
      </c>
      <c r="J7" s="298">
        <v>3</v>
      </c>
      <c r="K7" s="298">
        <v>3</v>
      </c>
      <c r="L7" s="298">
        <v>3</v>
      </c>
      <c r="M7" s="298">
        <v>3</v>
      </c>
      <c r="N7" s="319" t="s">
        <v>66</v>
      </c>
      <c r="O7" s="314" t="s">
        <v>180</v>
      </c>
    </row>
    <row r="8" spans="1:15" ht="52.2" thickTop="1" thickBot="1" x14ac:dyDescent="0.25">
      <c r="A8" s="316"/>
      <c r="B8" s="5" t="s">
        <v>62</v>
      </c>
      <c r="C8" s="5" t="s">
        <v>190</v>
      </c>
      <c r="D8" s="7" t="s">
        <v>191</v>
      </c>
      <c r="E8" s="5" t="s">
        <v>373</v>
      </c>
      <c r="F8" s="5" t="s">
        <v>334</v>
      </c>
      <c r="G8" s="278">
        <v>1</v>
      </c>
      <c r="H8" s="320">
        <v>1</v>
      </c>
      <c r="I8" s="318" t="s">
        <v>74</v>
      </c>
      <c r="J8" s="320">
        <v>1</v>
      </c>
      <c r="K8" s="320">
        <v>1</v>
      </c>
      <c r="L8" s="320">
        <v>1</v>
      </c>
      <c r="M8" s="320">
        <v>1</v>
      </c>
      <c r="N8" s="319" t="s">
        <v>66</v>
      </c>
      <c r="O8" s="314" t="s">
        <v>192</v>
      </c>
    </row>
    <row r="9" spans="1:15" ht="62.4" thickTop="1" thickBot="1" x14ac:dyDescent="0.25">
      <c r="A9" s="316"/>
      <c r="B9" s="5" t="s">
        <v>62</v>
      </c>
      <c r="C9" s="5" t="s">
        <v>193</v>
      </c>
      <c r="D9" s="7" t="s">
        <v>194</v>
      </c>
      <c r="E9" s="5" t="s">
        <v>335</v>
      </c>
      <c r="F9" s="5" t="s">
        <v>96</v>
      </c>
      <c r="G9" s="317" t="s">
        <v>195</v>
      </c>
      <c r="H9" s="317">
        <v>5</v>
      </c>
      <c r="I9" s="318" t="s">
        <v>74</v>
      </c>
      <c r="J9" s="317">
        <v>1</v>
      </c>
      <c r="K9" s="317">
        <v>1</v>
      </c>
      <c r="L9" s="317">
        <v>1</v>
      </c>
      <c r="M9" s="317">
        <v>2</v>
      </c>
      <c r="N9" s="321" t="s">
        <v>283</v>
      </c>
      <c r="O9" s="314" t="s">
        <v>196</v>
      </c>
    </row>
    <row r="10" spans="1:15" ht="72.599999999999994" thickTop="1" thickBot="1" x14ac:dyDescent="0.25">
      <c r="A10" s="316"/>
      <c r="B10" s="5" t="s">
        <v>62</v>
      </c>
      <c r="C10" s="5" t="s">
        <v>193</v>
      </c>
      <c r="D10" s="7" t="s">
        <v>197</v>
      </c>
      <c r="E10" s="5" t="s">
        <v>336</v>
      </c>
      <c r="F10" s="5" t="s">
        <v>96</v>
      </c>
      <c r="G10" s="317" t="s">
        <v>198</v>
      </c>
      <c r="H10" s="317">
        <v>5</v>
      </c>
      <c r="I10" s="322" t="s">
        <v>74</v>
      </c>
      <c r="J10" s="317">
        <v>1</v>
      </c>
      <c r="K10" s="317">
        <v>1</v>
      </c>
      <c r="L10" s="317">
        <v>1</v>
      </c>
      <c r="M10" s="317">
        <v>2</v>
      </c>
      <c r="N10" s="319" t="s">
        <v>283</v>
      </c>
      <c r="O10" s="314" t="s">
        <v>196</v>
      </c>
    </row>
    <row r="11" spans="1:15" ht="72.599999999999994" thickTop="1" thickBot="1" x14ac:dyDescent="0.25">
      <c r="A11" s="316"/>
      <c r="B11" s="5" t="s">
        <v>62</v>
      </c>
      <c r="C11" s="5" t="s">
        <v>193</v>
      </c>
      <c r="D11" s="7" t="s">
        <v>199</v>
      </c>
      <c r="E11" s="5" t="s">
        <v>337</v>
      </c>
      <c r="F11" s="5" t="s">
        <v>334</v>
      </c>
      <c r="G11" s="317"/>
      <c r="H11" s="317" t="s">
        <v>490</v>
      </c>
      <c r="I11" s="322" t="s">
        <v>74</v>
      </c>
      <c r="J11" s="323">
        <v>1</v>
      </c>
      <c r="K11" s="323">
        <v>1</v>
      </c>
      <c r="L11" s="323">
        <v>1</v>
      </c>
      <c r="M11" s="323">
        <v>1</v>
      </c>
      <c r="N11" s="319" t="s">
        <v>49</v>
      </c>
      <c r="O11" s="314" t="s">
        <v>200</v>
      </c>
    </row>
    <row r="12" spans="1:15" ht="52.2" thickTop="1" thickBot="1" x14ac:dyDescent="0.25">
      <c r="A12" s="316"/>
      <c r="B12" s="5" t="s">
        <v>62</v>
      </c>
      <c r="C12" s="5" t="s">
        <v>193</v>
      </c>
      <c r="D12" s="7" t="s">
        <v>201</v>
      </c>
      <c r="E12" s="5" t="s">
        <v>338</v>
      </c>
      <c r="F12" s="5" t="s">
        <v>96</v>
      </c>
      <c r="G12" s="317" t="s">
        <v>202</v>
      </c>
      <c r="H12" s="324">
        <v>4</v>
      </c>
      <c r="I12" s="322" t="s">
        <v>74</v>
      </c>
      <c r="J12" s="324">
        <v>1</v>
      </c>
      <c r="K12" s="324">
        <v>1</v>
      </c>
      <c r="L12" s="324">
        <v>1</v>
      </c>
      <c r="M12" s="324">
        <v>1</v>
      </c>
      <c r="N12" s="319" t="s">
        <v>185</v>
      </c>
      <c r="O12" s="314" t="s">
        <v>196</v>
      </c>
    </row>
    <row r="13" spans="1:15" ht="52.2" thickTop="1" thickBot="1" x14ac:dyDescent="0.25">
      <c r="A13" s="316"/>
      <c r="B13" s="5" t="s">
        <v>62</v>
      </c>
      <c r="C13" s="5" t="s">
        <v>183</v>
      </c>
      <c r="D13" s="7" t="s">
        <v>203</v>
      </c>
      <c r="E13" s="5" t="s">
        <v>339</v>
      </c>
      <c r="F13" s="5" t="s">
        <v>204</v>
      </c>
      <c r="G13" s="317" t="s">
        <v>205</v>
      </c>
      <c r="H13" s="317">
        <v>4</v>
      </c>
      <c r="I13" s="7" t="s">
        <v>74</v>
      </c>
      <c r="J13" s="10">
        <v>1</v>
      </c>
      <c r="K13" s="10">
        <v>1</v>
      </c>
      <c r="L13" s="10">
        <v>1</v>
      </c>
      <c r="M13" s="10">
        <v>1</v>
      </c>
      <c r="N13" s="319" t="s">
        <v>76</v>
      </c>
      <c r="O13" s="5" t="s">
        <v>206</v>
      </c>
    </row>
    <row r="14" spans="1:15" ht="72.599999999999994" thickTop="1" thickBot="1" x14ac:dyDescent="0.25">
      <c r="A14" s="316"/>
      <c r="B14" s="5" t="s">
        <v>62</v>
      </c>
      <c r="C14" s="5" t="s">
        <v>183</v>
      </c>
      <c r="D14" s="7" t="s">
        <v>203</v>
      </c>
      <c r="E14" s="5" t="s">
        <v>374</v>
      </c>
      <c r="F14" s="5" t="s">
        <v>92</v>
      </c>
      <c r="G14" s="317" t="s">
        <v>120</v>
      </c>
      <c r="H14" s="317" t="s">
        <v>487</v>
      </c>
      <c r="I14" s="7" t="s">
        <v>74</v>
      </c>
      <c r="J14" s="323">
        <v>1</v>
      </c>
      <c r="K14" s="323">
        <v>1</v>
      </c>
      <c r="L14" s="323">
        <v>1</v>
      </c>
      <c r="M14" s="323">
        <v>1</v>
      </c>
      <c r="N14" s="319" t="s">
        <v>76</v>
      </c>
      <c r="O14" s="5" t="s">
        <v>207</v>
      </c>
    </row>
    <row r="15" spans="1:15" ht="52.2" thickTop="1" thickBot="1" x14ac:dyDescent="0.25">
      <c r="A15" s="316"/>
      <c r="B15" s="5" t="s">
        <v>62</v>
      </c>
      <c r="C15" s="5" t="s">
        <v>208</v>
      </c>
      <c r="D15" s="7" t="s">
        <v>209</v>
      </c>
      <c r="E15" s="5" t="s">
        <v>375</v>
      </c>
      <c r="F15" s="5" t="s">
        <v>69</v>
      </c>
      <c r="G15" s="317" t="s">
        <v>210</v>
      </c>
      <c r="H15" s="325" t="s">
        <v>211</v>
      </c>
      <c r="I15" s="318" t="s">
        <v>74</v>
      </c>
      <c r="J15" s="323" t="s">
        <v>12</v>
      </c>
      <c r="K15" s="323" t="s">
        <v>12</v>
      </c>
      <c r="L15" s="317" t="s">
        <v>12</v>
      </c>
      <c r="M15" s="325" t="s">
        <v>211</v>
      </c>
      <c r="N15" s="319" t="s">
        <v>76</v>
      </c>
      <c r="O15" s="5" t="s">
        <v>211</v>
      </c>
    </row>
    <row r="16" spans="1:15" ht="103.2" thickTop="1" thickBot="1" x14ac:dyDescent="0.25">
      <c r="A16" s="316"/>
      <c r="B16" s="5" t="s">
        <v>62</v>
      </c>
      <c r="C16" s="5" t="s">
        <v>118</v>
      </c>
      <c r="D16" s="7" t="s">
        <v>212</v>
      </c>
      <c r="E16" s="5" t="s">
        <v>340</v>
      </c>
      <c r="F16" s="5" t="s">
        <v>341</v>
      </c>
      <c r="G16" s="317" t="s">
        <v>120</v>
      </c>
      <c r="H16" s="323" t="s">
        <v>213</v>
      </c>
      <c r="I16" s="318"/>
      <c r="J16" s="323" t="s">
        <v>214</v>
      </c>
      <c r="K16" s="323" t="s">
        <v>214</v>
      </c>
      <c r="L16" s="323" t="s">
        <v>214</v>
      </c>
      <c r="M16" s="323" t="s">
        <v>214</v>
      </c>
      <c r="N16" s="319" t="s">
        <v>49</v>
      </c>
      <c r="O16" s="5" t="s">
        <v>215</v>
      </c>
    </row>
    <row r="17" ht="10.8" thickTop="1" x14ac:dyDescent="0.2"/>
  </sheetData>
  <mergeCells count="1">
    <mergeCell ref="A2:N2"/>
  </mergeCells>
  <pageMargins left="0.70866141732283472" right="0.70866141732283472" top="0.74803149606299213" bottom="0.74803149606299213" header="0.31496062992125984" footer="0.31496062992125984"/>
  <pageSetup paperSize="9" scale="86" fitToHeight="0" orientation="landscape" r:id="rId1"/>
  <headerFooter>
    <oddFooter>&amp;L2019/20 SDBIP&amp;CGOOD GOVERNANCE AND PUBLIC PARTICIPATION KPI's&amp;RPage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5"/>
  <sheetViews>
    <sheetView view="pageBreakPreview" topLeftCell="A5" zoomScale="60" zoomScaleNormal="100" workbookViewId="0">
      <selection activeCell="AE27" sqref="AE27"/>
    </sheetView>
  </sheetViews>
  <sheetFormatPr defaultColWidth="8.88671875" defaultRowHeight="13.8" x14ac:dyDescent="0.3"/>
  <cols>
    <col min="1" max="1" width="13.33203125" style="117" customWidth="1"/>
    <col min="2" max="2" width="15.5546875" style="39" customWidth="1"/>
    <col min="3" max="3" width="30.6640625" style="112" customWidth="1"/>
    <col min="4" max="4" width="12" style="39" customWidth="1"/>
    <col min="5" max="5" width="18.33203125" style="39" customWidth="1"/>
    <col min="6" max="6" width="18.44140625" style="39" customWidth="1"/>
    <col min="7" max="7" width="20.6640625" style="39" customWidth="1"/>
    <col min="8" max="16384" width="8.88671875" style="39"/>
  </cols>
  <sheetData>
    <row r="1" spans="1:7" ht="15" thickTop="1" thickBot="1" x14ac:dyDescent="0.35">
      <c r="A1" s="582" t="s">
        <v>543</v>
      </c>
      <c r="B1" s="582"/>
      <c r="C1" s="582"/>
      <c r="D1" s="582"/>
      <c r="E1" s="582"/>
      <c r="F1" s="582"/>
      <c r="G1" s="582"/>
    </row>
    <row r="2" spans="1:7" ht="13.95" customHeight="1" thickTop="1" thickBot="1" x14ac:dyDescent="0.35">
      <c r="A2" s="115"/>
      <c r="B2" s="389"/>
      <c r="C2" s="389"/>
      <c r="D2" s="389"/>
      <c r="E2" s="583" t="s">
        <v>455</v>
      </c>
      <c r="F2" s="584"/>
      <c r="G2" s="584"/>
    </row>
    <row r="3" spans="1:7" ht="28.8" thickTop="1" thickBot="1" x14ac:dyDescent="0.35">
      <c r="A3" s="390" t="s">
        <v>461</v>
      </c>
      <c r="B3" s="391" t="s">
        <v>3</v>
      </c>
      <c r="C3" s="391" t="s">
        <v>4</v>
      </c>
      <c r="D3" s="392" t="s">
        <v>8</v>
      </c>
      <c r="E3" s="394" t="s">
        <v>310</v>
      </c>
      <c r="F3" s="397" t="s">
        <v>449</v>
      </c>
      <c r="G3" s="397" t="s">
        <v>544</v>
      </c>
    </row>
    <row r="4" spans="1:7" ht="15" thickTop="1" thickBot="1" x14ac:dyDescent="0.35">
      <c r="A4" s="114" t="s">
        <v>794</v>
      </c>
      <c r="B4" s="395" t="s">
        <v>795</v>
      </c>
      <c r="C4" s="396" t="s">
        <v>793</v>
      </c>
      <c r="D4" s="392" t="s">
        <v>11</v>
      </c>
      <c r="E4" s="398">
        <v>526000</v>
      </c>
      <c r="F4" s="399">
        <v>554404</v>
      </c>
      <c r="G4" s="399">
        <v>584342</v>
      </c>
    </row>
    <row r="5" spans="1:7" ht="27.6" thickTop="1" thickBot="1" x14ac:dyDescent="0.35">
      <c r="A5" s="114">
        <v>6</v>
      </c>
      <c r="B5" s="109" t="s">
        <v>275</v>
      </c>
      <c r="C5" s="104" t="s">
        <v>286</v>
      </c>
      <c r="D5" s="105" t="s">
        <v>11</v>
      </c>
      <c r="E5" s="400">
        <v>600000</v>
      </c>
      <c r="F5" s="400">
        <v>6000000</v>
      </c>
      <c r="G5" s="400">
        <v>6000000</v>
      </c>
    </row>
    <row r="6" spans="1:7" ht="27.6" thickTop="1" thickBot="1" x14ac:dyDescent="0.35">
      <c r="A6" s="114">
        <v>14</v>
      </c>
      <c r="B6" s="109" t="s">
        <v>275</v>
      </c>
      <c r="C6" s="104" t="s">
        <v>277</v>
      </c>
      <c r="D6" s="105" t="s">
        <v>11</v>
      </c>
      <c r="E6" s="400">
        <v>800000</v>
      </c>
      <c r="F6" s="400">
        <v>6000000</v>
      </c>
      <c r="G6" s="400">
        <v>9454525.1400000006</v>
      </c>
    </row>
    <row r="7" spans="1:7" ht="27.6" thickTop="1" thickBot="1" x14ac:dyDescent="0.35">
      <c r="A7" s="114">
        <v>2</v>
      </c>
      <c r="B7" s="109" t="s">
        <v>275</v>
      </c>
      <c r="C7" s="104" t="s">
        <v>279</v>
      </c>
      <c r="D7" s="105" t="s">
        <v>11</v>
      </c>
      <c r="E7" s="400">
        <v>600000</v>
      </c>
      <c r="F7" s="400">
        <v>6000000</v>
      </c>
      <c r="G7" s="400">
        <v>6000000</v>
      </c>
    </row>
    <row r="8" spans="1:7" ht="27.6" thickTop="1" thickBot="1" x14ac:dyDescent="0.35">
      <c r="A8" s="114">
        <v>26</v>
      </c>
      <c r="B8" s="109" t="s">
        <v>275</v>
      </c>
      <c r="C8" s="109" t="s">
        <v>456</v>
      </c>
      <c r="D8" s="105" t="s">
        <v>287</v>
      </c>
      <c r="E8" s="401">
        <v>9861763.7899999991</v>
      </c>
      <c r="F8" s="400">
        <v>14002125.25</v>
      </c>
      <c r="G8" s="400">
        <v>6113110.96</v>
      </c>
    </row>
    <row r="9" spans="1:7" ht="27.6" thickTop="1" thickBot="1" x14ac:dyDescent="0.35">
      <c r="A9" s="114">
        <v>7</v>
      </c>
      <c r="B9" s="109" t="s">
        <v>275</v>
      </c>
      <c r="C9" s="104" t="s">
        <v>278</v>
      </c>
      <c r="D9" s="105" t="s">
        <v>11</v>
      </c>
      <c r="E9" s="400">
        <v>3000000</v>
      </c>
      <c r="F9" s="400">
        <v>10000000</v>
      </c>
      <c r="G9" s="400">
        <v>3000000</v>
      </c>
    </row>
    <row r="10" spans="1:7" ht="27.6" thickTop="1" thickBot="1" x14ac:dyDescent="0.35">
      <c r="A10" s="114">
        <v>1</v>
      </c>
      <c r="B10" s="109" t="s">
        <v>275</v>
      </c>
      <c r="C10" s="104" t="s">
        <v>276</v>
      </c>
      <c r="D10" s="105" t="s">
        <v>11</v>
      </c>
      <c r="E10" s="400">
        <v>7000000</v>
      </c>
      <c r="F10" s="400">
        <v>8000000</v>
      </c>
      <c r="G10" s="400"/>
    </row>
    <row r="11" spans="1:7" ht="27.6" thickTop="1" thickBot="1" x14ac:dyDescent="0.35">
      <c r="A11" s="114">
        <v>4</v>
      </c>
      <c r="B11" s="109" t="s">
        <v>275</v>
      </c>
      <c r="C11" s="104" t="s">
        <v>280</v>
      </c>
      <c r="D11" s="105" t="s">
        <v>11</v>
      </c>
      <c r="E11" s="400">
        <v>8000000</v>
      </c>
      <c r="F11" s="400"/>
      <c r="G11" s="400"/>
    </row>
    <row r="12" spans="1:7" ht="28.8" thickTop="1" thickBot="1" x14ac:dyDescent="0.35">
      <c r="A12" s="114" t="s">
        <v>489</v>
      </c>
      <c r="B12" s="109" t="s">
        <v>275</v>
      </c>
      <c r="C12" s="108" t="s">
        <v>273</v>
      </c>
      <c r="D12" s="105" t="s">
        <v>11</v>
      </c>
      <c r="E12" s="401">
        <v>3000000</v>
      </c>
      <c r="F12" s="400">
        <v>3500000</v>
      </c>
      <c r="G12" s="400">
        <v>8503289.6699999999</v>
      </c>
    </row>
    <row r="13" spans="1:7" ht="15" thickTop="1" thickBot="1" x14ac:dyDescent="0.35">
      <c r="A13" s="113" t="s">
        <v>19</v>
      </c>
      <c r="B13" s="103" t="s">
        <v>21</v>
      </c>
      <c r="C13" s="110" t="s">
        <v>265</v>
      </c>
      <c r="D13" s="105" t="s">
        <v>11</v>
      </c>
      <c r="E13" s="401">
        <v>5983000</v>
      </c>
      <c r="F13" s="401">
        <v>10635000</v>
      </c>
      <c r="G13" s="401">
        <v>12500000</v>
      </c>
    </row>
    <row r="14" spans="1:7" ht="28.8" thickTop="1" thickBot="1" x14ac:dyDescent="0.35">
      <c r="A14" s="113">
        <v>27</v>
      </c>
      <c r="B14" s="103" t="s">
        <v>13</v>
      </c>
      <c r="C14" s="104" t="s">
        <v>14</v>
      </c>
      <c r="D14" s="105" t="s">
        <v>11</v>
      </c>
      <c r="E14" s="401">
        <v>13050771</v>
      </c>
      <c r="F14" s="401">
        <v>13902226.35</v>
      </c>
      <c r="G14" s="401"/>
    </row>
    <row r="15" spans="1:7" ht="28.8" thickTop="1" thickBot="1" x14ac:dyDescent="0.35">
      <c r="A15" s="113">
        <v>16</v>
      </c>
      <c r="B15" s="103" t="s">
        <v>13</v>
      </c>
      <c r="C15" s="104" t="s">
        <v>16</v>
      </c>
      <c r="D15" s="105" t="s">
        <v>11</v>
      </c>
      <c r="E15" s="401">
        <v>11884802</v>
      </c>
      <c r="F15" s="401">
        <v>10000000</v>
      </c>
      <c r="G15" s="401"/>
    </row>
    <row r="16" spans="1:7" ht="28.8" thickTop="1" thickBot="1" x14ac:dyDescent="0.35">
      <c r="A16" s="113">
        <v>25</v>
      </c>
      <c r="B16" s="103" t="s">
        <v>28</v>
      </c>
      <c r="C16" s="104" t="s">
        <v>457</v>
      </c>
      <c r="D16" s="105" t="s">
        <v>11</v>
      </c>
      <c r="E16" s="401"/>
      <c r="F16" s="401">
        <v>2000000</v>
      </c>
      <c r="G16" s="401">
        <v>1500000</v>
      </c>
    </row>
    <row r="17" spans="1:7" ht="28.8" thickTop="1" thickBot="1" x14ac:dyDescent="0.35">
      <c r="A17" s="113">
        <v>5</v>
      </c>
      <c r="B17" s="103" t="s">
        <v>28</v>
      </c>
      <c r="C17" s="104" t="s">
        <v>27</v>
      </c>
      <c r="D17" s="105" t="s">
        <v>11</v>
      </c>
      <c r="E17" s="401">
        <v>600000</v>
      </c>
      <c r="F17" s="401">
        <v>3100000</v>
      </c>
      <c r="G17" s="401">
        <v>3900000</v>
      </c>
    </row>
    <row r="18" spans="1:7" ht="56.4" thickTop="1" thickBot="1" x14ac:dyDescent="0.35">
      <c r="A18" s="114" t="s">
        <v>691</v>
      </c>
      <c r="B18" s="103" t="s">
        <v>21</v>
      </c>
      <c r="C18" s="103" t="s">
        <v>598</v>
      </c>
      <c r="D18" s="105" t="s">
        <v>11</v>
      </c>
      <c r="E18" s="401">
        <v>3300000</v>
      </c>
      <c r="F18" s="401">
        <v>2500000</v>
      </c>
      <c r="G18" s="401">
        <v>10491920.18</v>
      </c>
    </row>
    <row r="19" spans="1:7" ht="28.8" thickTop="1" thickBot="1" x14ac:dyDescent="0.35">
      <c r="A19" s="393" t="s">
        <v>794</v>
      </c>
      <c r="B19" s="103" t="s">
        <v>18</v>
      </c>
      <c r="C19" s="104" t="s">
        <v>274</v>
      </c>
      <c r="D19" s="105" t="s">
        <v>11</v>
      </c>
      <c r="E19" s="401">
        <v>2980000</v>
      </c>
      <c r="F19" s="401">
        <v>3326363.95</v>
      </c>
      <c r="G19" s="401">
        <v>15508297.939999999</v>
      </c>
    </row>
    <row r="20" spans="1:7" ht="28.8" thickTop="1" thickBot="1" x14ac:dyDescent="0.35">
      <c r="A20" s="393" t="s">
        <v>652</v>
      </c>
      <c r="B20" s="103" t="s">
        <v>18</v>
      </c>
      <c r="C20" s="104" t="s">
        <v>796</v>
      </c>
      <c r="D20" s="105" t="s">
        <v>11</v>
      </c>
      <c r="E20" s="401">
        <v>3000000</v>
      </c>
      <c r="F20" s="401"/>
      <c r="G20" s="401">
        <v>4200000</v>
      </c>
    </row>
    <row r="21" spans="1:7" ht="28.8" thickTop="1" thickBot="1" x14ac:dyDescent="0.35">
      <c r="A21" s="393">
        <v>6</v>
      </c>
      <c r="B21" s="103" t="s">
        <v>18</v>
      </c>
      <c r="C21" s="104" t="s">
        <v>692</v>
      </c>
      <c r="D21" s="105" t="s">
        <v>11</v>
      </c>
      <c r="E21" s="401">
        <v>3000000</v>
      </c>
      <c r="F21" s="401">
        <v>10000000</v>
      </c>
      <c r="G21" s="401">
        <v>3000000</v>
      </c>
    </row>
    <row r="22" spans="1:7" ht="28.8" thickTop="1" thickBot="1" x14ac:dyDescent="0.35">
      <c r="A22" s="113">
        <v>14</v>
      </c>
      <c r="B22" s="103" t="s">
        <v>28</v>
      </c>
      <c r="C22" s="104" t="s">
        <v>458</v>
      </c>
      <c r="D22" s="105" t="s">
        <v>11</v>
      </c>
      <c r="E22" s="401">
        <v>3600000</v>
      </c>
      <c r="F22" s="401">
        <v>8454525.1400000006</v>
      </c>
      <c r="G22" s="401">
        <v>4000000</v>
      </c>
    </row>
    <row r="23" spans="1:7" ht="27.6" thickTop="1" thickBot="1" x14ac:dyDescent="0.35">
      <c r="A23" s="114">
        <v>12</v>
      </c>
      <c r="B23" s="109" t="s">
        <v>275</v>
      </c>
      <c r="C23" s="104" t="s">
        <v>235</v>
      </c>
      <c r="D23" s="105" t="s">
        <v>11</v>
      </c>
      <c r="E23" s="400">
        <v>7178993.7800000003</v>
      </c>
      <c r="F23" s="400">
        <v>7644260.6100000003</v>
      </c>
      <c r="G23" s="400"/>
    </row>
    <row r="24" spans="1:7" ht="27.6" thickTop="1" thickBot="1" x14ac:dyDescent="0.35">
      <c r="A24" s="114">
        <v>14</v>
      </c>
      <c r="B24" s="109" t="s">
        <v>275</v>
      </c>
      <c r="C24" s="104" t="s">
        <v>799</v>
      </c>
      <c r="D24" s="105" t="s">
        <v>11</v>
      </c>
      <c r="E24" s="400">
        <v>3600000</v>
      </c>
      <c r="F24" s="400">
        <v>8454525.1400000006</v>
      </c>
      <c r="G24" s="400">
        <v>4000000</v>
      </c>
    </row>
    <row r="25" spans="1:7" ht="27.6" thickTop="1" thickBot="1" x14ac:dyDescent="0.35">
      <c r="A25" s="114">
        <v>24</v>
      </c>
      <c r="B25" s="109" t="s">
        <v>275</v>
      </c>
      <c r="C25" s="109" t="s">
        <v>798</v>
      </c>
      <c r="D25" s="105" t="s">
        <v>11</v>
      </c>
      <c r="E25" s="400"/>
      <c r="F25" s="400">
        <v>400000</v>
      </c>
      <c r="G25" s="400">
        <v>15700000</v>
      </c>
    </row>
    <row r="26" spans="1:7" ht="27.6" thickTop="1" thickBot="1" x14ac:dyDescent="0.35">
      <c r="A26" s="114">
        <v>4</v>
      </c>
      <c r="B26" s="109" t="s">
        <v>275</v>
      </c>
      <c r="C26" s="109" t="s">
        <v>694</v>
      </c>
      <c r="D26" s="105" t="s">
        <v>11</v>
      </c>
      <c r="E26" s="400">
        <v>300000</v>
      </c>
      <c r="F26" s="400">
        <v>12332072</v>
      </c>
      <c r="G26" s="400">
        <v>4000000</v>
      </c>
    </row>
    <row r="27" spans="1:7" ht="27.6" thickTop="1" thickBot="1" x14ac:dyDescent="0.35">
      <c r="A27" s="114">
        <v>6</v>
      </c>
      <c r="B27" s="109" t="s">
        <v>275</v>
      </c>
      <c r="C27" s="104" t="s">
        <v>460</v>
      </c>
      <c r="D27" s="105" t="s">
        <v>11</v>
      </c>
      <c r="E27" s="400">
        <v>300000</v>
      </c>
      <c r="F27" s="400">
        <v>12332072</v>
      </c>
      <c r="G27" s="400">
        <v>4000000</v>
      </c>
    </row>
    <row r="28" spans="1:7" ht="27.6" thickTop="1" thickBot="1" x14ac:dyDescent="0.35">
      <c r="A28" s="114">
        <v>5</v>
      </c>
      <c r="B28" s="109" t="s">
        <v>275</v>
      </c>
      <c r="C28" s="104" t="s">
        <v>695</v>
      </c>
      <c r="D28" s="105" t="s">
        <v>11</v>
      </c>
      <c r="E28" s="400">
        <v>400000</v>
      </c>
      <c r="F28" s="400">
        <v>2500000</v>
      </c>
      <c r="G28" s="400">
        <v>7500000</v>
      </c>
    </row>
    <row r="29" spans="1:7" ht="27.6" thickTop="1" thickBot="1" x14ac:dyDescent="0.35">
      <c r="A29" s="114">
        <v>9</v>
      </c>
      <c r="B29" s="109" t="s">
        <v>275</v>
      </c>
      <c r="C29" s="104" t="s">
        <v>696</v>
      </c>
      <c r="D29" s="105" t="s">
        <v>11</v>
      </c>
      <c r="E29" s="400">
        <v>400000</v>
      </c>
      <c r="F29" s="400">
        <v>2500000</v>
      </c>
      <c r="G29" s="400">
        <v>75000000</v>
      </c>
    </row>
    <row r="30" spans="1:7" ht="27.6" thickTop="1" thickBot="1" x14ac:dyDescent="0.35">
      <c r="A30" s="114">
        <v>13</v>
      </c>
      <c r="B30" s="109" t="s">
        <v>275</v>
      </c>
      <c r="C30" s="104" t="s">
        <v>697</v>
      </c>
      <c r="D30" s="105" t="s">
        <v>11</v>
      </c>
      <c r="E30" s="400">
        <v>400000</v>
      </c>
      <c r="F30" s="400">
        <v>2500000</v>
      </c>
      <c r="G30" s="400">
        <v>7500000</v>
      </c>
    </row>
    <row r="31" spans="1:7" ht="27.6" thickTop="1" thickBot="1" x14ac:dyDescent="0.35">
      <c r="A31" s="114">
        <v>15</v>
      </c>
      <c r="B31" s="109" t="s">
        <v>275</v>
      </c>
      <c r="C31" s="104" t="s">
        <v>698</v>
      </c>
      <c r="D31" s="105" t="s">
        <v>11</v>
      </c>
      <c r="E31" s="400">
        <v>400000</v>
      </c>
      <c r="F31" s="400">
        <v>2500000</v>
      </c>
      <c r="G31" s="400">
        <v>7500000</v>
      </c>
    </row>
    <row r="32" spans="1:7" ht="27.6" thickTop="1" thickBot="1" x14ac:dyDescent="0.35">
      <c r="A32" s="114">
        <v>23</v>
      </c>
      <c r="B32" s="109" t="s">
        <v>275</v>
      </c>
      <c r="C32" s="104" t="s">
        <v>699</v>
      </c>
      <c r="D32" s="105" t="s">
        <v>11</v>
      </c>
      <c r="E32" s="400">
        <v>400000</v>
      </c>
      <c r="F32" s="400">
        <v>2500000</v>
      </c>
      <c r="G32" s="400">
        <v>7500000</v>
      </c>
    </row>
    <row r="33" spans="1:7" ht="27.6" thickTop="1" thickBot="1" x14ac:dyDescent="0.35">
      <c r="A33" s="114">
        <v>7</v>
      </c>
      <c r="B33" s="109" t="s">
        <v>275</v>
      </c>
      <c r="C33" s="104" t="s">
        <v>700</v>
      </c>
      <c r="D33" s="105" t="s">
        <v>11</v>
      </c>
      <c r="E33" s="400">
        <v>400000</v>
      </c>
      <c r="F33" s="400">
        <v>2500000</v>
      </c>
      <c r="G33" s="400">
        <v>7500000</v>
      </c>
    </row>
    <row r="34" spans="1:7" ht="27.6" thickTop="1" thickBot="1" x14ac:dyDescent="0.35">
      <c r="A34" s="114">
        <v>29</v>
      </c>
      <c r="B34" s="109" t="s">
        <v>275</v>
      </c>
      <c r="C34" s="104" t="s">
        <v>702</v>
      </c>
      <c r="D34" s="105" t="s">
        <v>11</v>
      </c>
      <c r="E34" s="400">
        <v>400000</v>
      </c>
      <c r="F34" s="400">
        <v>250000</v>
      </c>
      <c r="G34" s="400">
        <v>7500000</v>
      </c>
    </row>
    <row r="35" spans="1:7" ht="27.6" thickTop="1" thickBot="1" x14ac:dyDescent="0.35">
      <c r="A35" s="114">
        <v>16</v>
      </c>
      <c r="B35" s="109" t="s">
        <v>275</v>
      </c>
      <c r="C35" s="104" t="s">
        <v>701</v>
      </c>
      <c r="D35" s="105" t="s">
        <v>11</v>
      </c>
      <c r="E35" s="400">
        <v>400000</v>
      </c>
      <c r="F35" s="400">
        <v>2500000</v>
      </c>
      <c r="G35" s="400">
        <v>7500000</v>
      </c>
    </row>
    <row r="36" spans="1:7" ht="27.6" thickTop="1" thickBot="1" x14ac:dyDescent="0.35">
      <c r="A36" s="114">
        <v>19</v>
      </c>
      <c r="B36" s="109" t="s">
        <v>275</v>
      </c>
      <c r="C36" s="104" t="s">
        <v>703</v>
      </c>
      <c r="D36" s="105" t="s">
        <v>11</v>
      </c>
      <c r="E36" s="400">
        <v>400000</v>
      </c>
      <c r="F36" s="400">
        <v>6600000</v>
      </c>
      <c r="G36" s="400">
        <v>4500000</v>
      </c>
    </row>
    <row r="37" spans="1:7" ht="27.6" thickTop="1" thickBot="1" x14ac:dyDescent="0.35">
      <c r="A37" s="114">
        <v>21</v>
      </c>
      <c r="B37" s="109" t="s">
        <v>275</v>
      </c>
      <c r="C37" s="104" t="s">
        <v>797</v>
      </c>
      <c r="D37" s="105" t="s">
        <v>11</v>
      </c>
      <c r="E37" s="400">
        <v>400000</v>
      </c>
      <c r="F37" s="400">
        <v>2500000</v>
      </c>
      <c r="G37" s="400">
        <v>7500000</v>
      </c>
    </row>
    <row r="38" spans="1:7" ht="27.6" thickTop="1" thickBot="1" x14ac:dyDescent="0.35">
      <c r="A38" s="114">
        <v>2</v>
      </c>
      <c r="B38" s="109" t="s">
        <v>275</v>
      </c>
      <c r="C38" s="104" t="s">
        <v>704</v>
      </c>
      <c r="D38" s="105" t="s">
        <v>11</v>
      </c>
      <c r="E38" s="400">
        <v>400000</v>
      </c>
      <c r="F38" s="400">
        <v>6600000</v>
      </c>
      <c r="G38" s="400">
        <v>4500000</v>
      </c>
    </row>
    <row r="39" spans="1:7" ht="28.8" thickTop="1" thickBot="1" x14ac:dyDescent="0.35">
      <c r="A39" s="113">
        <v>27</v>
      </c>
      <c r="B39" s="103" t="s">
        <v>28</v>
      </c>
      <c r="C39" s="104" t="s">
        <v>459</v>
      </c>
      <c r="D39" s="105" t="s">
        <v>11</v>
      </c>
      <c r="E39" s="401">
        <v>600000</v>
      </c>
      <c r="F39" s="401">
        <v>5700000</v>
      </c>
      <c r="G39" s="401">
        <v>1500000</v>
      </c>
    </row>
    <row r="40" spans="1:7" ht="28.8" thickTop="1" thickBot="1" x14ac:dyDescent="0.35">
      <c r="A40" s="113">
        <v>16</v>
      </c>
      <c r="B40" s="103" t="s">
        <v>28</v>
      </c>
      <c r="C40" s="104" t="s">
        <v>26</v>
      </c>
      <c r="D40" s="105" t="s">
        <v>11</v>
      </c>
      <c r="E40" s="401">
        <v>500000</v>
      </c>
      <c r="F40" s="401">
        <v>3000000</v>
      </c>
      <c r="G40" s="401">
        <v>4500000</v>
      </c>
    </row>
    <row r="41" spans="1:7" s="116" customFormat="1" ht="28.8" thickTop="1" thickBot="1" x14ac:dyDescent="0.35">
      <c r="A41" s="114" t="s">
        <v>19</v>
      </c>
      <c r="B41" s="103" t="s">
        <v>294</v>
      </c>
      <c r="C41" s="103" t="s">
        <v>288</v>
      </c>
      <c r="D41" s="405" t="s">
        <v>11</v>
      </c>
      <c r="E41" s="402">
        <v>200000</v>
      </c>
      <c r="F41" s="403">
        <v>421600</v>
      </c>
      <c r="G41" s="403">
        <v>444788</v>
      </c>
    </row>
    <row r="42" spans="1:7" ht="28.8" thickTop="1" thickBot="1" x14ac:dyDescent="0.35">
      <c r="A42" s="113">
        <v>12</v>
      </c>
      <c r="B42" s="103" t="s">
        <v>13</v>
      </c>
      <c r="C42" s="104" t="s">
        <v>15</v>
      </c>
      <c r="D42" s="105" t="s">
        <v>23</v>
      </c>
      <c r="E42" s="401">
        <v>10000000</v>
      </c>
      <c r="F42" s="401">
        <v>14681858.07</v>
      </c>
      <c r="G42" s="401">
        <v>11325141.93</v>
      </c>
    </row>
    <row r="43" spans="1:7" ht="28.8" thickTop="1" thickBot="1" x14ac:dyDescent="0.35">
      <c r="A43" s="114">
        <v>1</v>
      </c>
      <c r="B43" s="103" t="s">
        <v>13</v>
      </c>
      <c r="C43" s="104" t="s">
        <v>311</v>
      </c>
      <c r="D43" s="105" t="s">
        <v>11</v>
      </c>
      <c r="E43" s="401">
        <v>10000000</v>
      </c>
      <c r="F43" s="401">
        <v>15151030.59</v>
      </c>
      <c r="G43" s="401">
        <v>10355969.41</v>
      </c>
    </row>
    <row r="44" spans="1:7" ht="27.6" thickTop="1" thickBot="1" x14ac:dyDescent="0.35">
      <c r="A44" s="114"/>
      <c r="B44" s="109" t="s">
        <v>275</v>
      </c>
      <c r="C44" s="104" t="s">
        <v>450</v>
      </c>
      <c r="D44" s="105" t="s">
        <v>11</v>
      </c>
      <c r="E44" s="400"/>
      <c r="F44" s="400">
        <v>600000</v>
      </c>
      <c r="G44" s="400">
        <v>15458044.800000001</v>
      </c>
    </row>
    <row r="45" spans="1:7" ht="27.6" thickTop="1" thickBot="1" x14ac:dyDescent="0.35">
      <c r="A45" s="114">
        <v>29</v>
      </c>
      <c r="B45" s="109" t="s">
        <v>275</v>
      </c>
      <c r="C45" s="104" t="s">
        <v>236</v>
      </c>
      <c r="D45" s="105" t="s">
        <v>11</v>
      </c>
      <c r="E45" s="400">
        <v>6000000</v>
      </c>
      <c r="F45" s="400"/>
      <c r="G45" s="400"/>
    </row>
    <row r="46" spans="1:7" ht="27.6" thickTop="1" thickBot="1" x14ac:dyDescent="0.35">
      <c r="A46" s="113" t="s">
        <v>30</v>
      </c>
      <c r="B46" s="103" t="s">
        <v>21</v>
      </c>
      <c r="C46" s="104" t="s">
        <v>32</v>
      </c>
      <c r="D46" s="105" t="s">
        <v>11</v>
      </c>
      <c r="E46" s="401">
        <v>924760</v>
      </c>
      <c r="F46" s="401"/>
      <c r="G46" s="401"/>
    </row>
    <row r="47" spans="1:7" ht="15" thickTop="1" thickBot="1" x14ac:dyDescent="0.35">
      <c r="A47" s="113">
        <v>29</v>
      </c>
      <c r="B47" s="103" t="s">
        <v>21</v>
      </c>
      <c r="C47" s="104" t="s">
        <v>272</v>
      </c>
      <c r="D47" s="105" t="s">
        <v>11</v>
      </c>
      <c r="E47" s="401">
        <v>3800000</v>
      </c>
      <c r="F47" s="401"/>
      <c r="G47" s="401"/>
    </row>
    <row r="48" spans="1:7" ht="28.8" thickTop="1" thickBot="1" x14ac:dyDescent="0.35">
      <c r="A48" s="113">
        <v>3</v>
      </c>
      <c r="B48" s="103" t="s">
        <v>13</v>
      </c>
      <c r="C48" s="104" t="s">
        <v>22</v>
      </c>
      <c r="D48" s="105" t="s">
        <v>287</v>
      </c>
      <c r="E48" s="404">
        <v>11001978</v>
      </c>
      <c r="F48" s="404"/>
      <c r="G48" s="404"/>
    </row>
    <row r="49" spans="1:7" ht="28.8" thickTop="1" thickBot="1" x14ac:dyDescent="0.35">
      <c r="A49" s="113">
        <v>10</v>
      </c>
      <c r="B49" s="103" t="s">
        <v>18</v>
      </c>
      <c r="C49" s="41" t="s">
        <v>33</v>
      </c>
      <c r="D49" s="105" t="s">
        <v>287</v>
      </c>
      <c r="E49" s="401">
        <v>5283210</v>
      </c>
      <c r="F49" s="401"/>
      <c r="G49" s="401"/>
    </row>
    <row r="50" spans="1:7" ht="28.8" thickTop="1" thickBot="1" x14ac:dyDescent="0.35">
      <c r="A50" s="113">
        <v>8</v>
      </c>
      <c r="B50" s="103" t="s">
        <v>18</v>
      </c>
      <c r="C50" s="104" t="s">
        <v>34</v>
      </c>
      <c r="D50" s="105" t="s">
        <v>287</v>
      </c>
      <c r="E50" s="401">
        <v>7450000</v>
      </c>
      <c r="F50" s="401"/>
      <c r="G50" s="401"/>
    </row>
    <row r="51" spans="1:7" ht="28.8" thickTop="1" thickBot="1" x14ac:dyDescent="0.35">
      <c r="A51" s="113">
        <v>4</v>
      </c>
      <c r="B51" s="103" t="s">
        <v>18</v>
      </c>
      <c r="C51" s="104" t="s">
        <v>35</v>
      </c>
      <c r="D51" s="105" t="s">
        <v>23</v>
      </c>
      <c r="E51" s="401">
        <v>4987800</v>
      </c>
      <c r="F51" s="401"/>
      <c r="G51" s="401"/>
    </row>
    <row r="52" spans="1:7" ht="28.8" thickTop="1" thickBot="1" x14ac:dyDescent="0.35">
      <c r="A52" s="113">
        <v>20</v>
      </c>
      <c r="B52" s="103" t="s">
        <v>18</v>
      </c>
      <c r="C52" s="104" t="s">
        <v>36</v>
      </c>
      <c r="D52" s="105" t="s">
        <v>23</v>
      </c>
      <c r="E52" s="401">
        <v>5503600</v>
      </c>
      <c r="F52" s="401"/>
      <c r="G52" s="401"/>
    </row>
    <row r="53" spans="1:7" ht="28.8" thickTop="1" thickBot="1" x14ac:dyDescent="0.35">
      <c r="A53" s="113">
        <v>24</v>
      </c>
      <c r="B53" s="103" t="s">
        <v>18</v>
      </c>
      <c r="C53" s="104" t="s">
        <v>270</v>
      </c>
      <c r="D53" s="105" t="s">
        <v>23</v>
      </c>
      <c r="E53" s="401">
        <v>5401000</v>
      </c>
      <c r="F53" s="401"/>
      <c r="G53" s="401"/>
    </row>
    <row r="54" spans="1:7" ht="28.8" thickTop="1" thickBot="1" x14ac:dyDescent="0.35">
      <c r="A54" s="113">
        <v>20</v>
      </c>
      <c r="B54" s="103" t="s">
        <v>18</v>
      </c>
      <c r="C54" s="104" t="s">
        <v>705</v>
      </c>
      <c r="D54" s="105" t="s">
        <v>23</v>
      </c>
      <c r="E54" s="401">
        <v>1000000</v>
      </c>
      <c r="F54" s="401">
        <v>4000000</v>
      </c>
      <c r="G54" s="401">
        <v>2400000</v>
      </c>
    </row>
    <row r="55" spans="1:7" ht="14.4" thickTop="1" x14ac:dyDescent="0.3"/>
  </sheetData>
  <mergeCells count="2">
    <mergeCell ref="A1:G1"/>
    <mergeCell ref="E2:G2"/>
  </mergeCells>
  <pageMargins left="0.7" right="0.7" top="0.75" bottom="0.75" header="0.3" footer="0.3"/>
  <pageSetup paperSize="9"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1"/>
  <sheetViews>
    <sheetView view="pageBreakPreview" zoomScale="86" zoomScaleNormal="100" zoomScaleSheetLayoutView="86" workbookViewId="0">
      <selection activeCell="AE27" sqref="AE27"/>
    </sheetView>
  </sheetViews>
  <sheetFormatPr defaultColWidth="8.88671875" defaultRowHeight="10.199999999999999" x14ac:dyDescent="0.2"/>
  <cols>
    <col min="1" max="1" width="9.109375" style="343" customWidth="1"/>
    <col min="2" max="2" width="17.109375" style="291" customWidth="1"/>
    <col min="3" max="3" width="10.5546875" style="343" customWidth="1"/>
    <col min="4" max="4" width="14.33203125" style="343" customWidth="1"/>
    <col min="5" max="5" width="12" style="344" customWidth="1"/>
    <col min="6" max="7" width="11.5546875" style="291" customWidth="1"/>
    <col min="8" max="9" width="8.6640625" style="291" customWidth="1"/>
    <col min="10" max="12" width="10.109375" style="345" customWidth="1"/>
    <col min="13" max="13" width="14.5546875" style="291" customWidth="1"/>
    <col min="14" max="14" width="14.33203125" style="291" customWidth="1"/>
    <col min="15" max="15" width="13.6640625" style="291" customWidth="1"/>
    <col min="16" max="16" width="12.6640625" style="291" customWidth="1"/>
    <col min="17" max="17" width="11.6640625" style="291" customWidth="1"/>
    <col min="18" max="16384" width="8.88671875" style="291"/>
  </cols>
  <sheetData>
    <row r="1" spans="1:17" ht="10.8" thickTop="1" x14ac:dyDescent="0.2">
      <c r="A1" s="585" t="s">
        <v>542</v>
      </c>
      <c r="B1" s="586"/>
      <c r="C1" s="586"/>
      <c r="D1" s="586"/>
      <c r="E1" s="586"/>
      <c r="F1" s="586"/>
      <c r="G1" s="586"/>
      <c r="H1" s="586"/>
      <c r="I1" s="586"/>
      <c r="J1" s="586"/>
      <c r="K1" s="587"/>
      <c r="L1" s="587"/>
      <c r="M1" s="586"/>
      <c r="N1" s="586"/>
      <c r="O1" s="586"/>
      <c r="P1" s="586"/>
      <c r="Q1" s="588"/>
    </row>
    <row r="2" spans="1:17" ht="9.6" customHeight="1" thickBot="1" x14ac:dyDescent="0.25">
      <c r="A2" s="589"/>
      <c r="B2" s="590"/>
      <c r="C2" s="590"/>
      <c r="D2" s="590"/>
      <c r="E2" s="590"/>
      <c r="F2" s="590"/>
      <c r="G2" s="590"/>
      <c r="H2" s="590"/>
      <c r="I2" s="590"/>
      <c r="J2" s="590"/>
      <c r="K2" s="590"/>
      <c r="L2" s="590"/>
      <c r="M2" s="590"/>
      <c r="N2" s="590"/>
      <c r="O2" s="590"/>
      <c r="P2" s="590"/>
      <c r="Q2" s="591"/>
    </row>
    <row r="3" spans="1:17" ht="16.2" customHeight="1" thickTop="1" thickBot="1" x14ac:dyDescent="0.25">
      <c r="A3" s="326"/>
      <c r="B3" s="326"/>
      <c r="C3" s="326"/>
      <c r="D3" s="326" t="s">
        <v>51</v>
      </c>
      <c r="E3" s="326"/>
      <c r="F3" s="326"/>
      <c r="G3" s="326"/>
      <c r="H3" s="326"/>
      <c r="I3" s="326"/>
      <c r="J3" s="326"/>
      <c r="K3" s="326"/>
      <c r="L3" s="326"/>
      <c r="M3" s="326"/>
      <c r="N3" s="326"/>
      <c r="O3" s="326"/>
      <c r="P3" s="326"/>
      <c r="Q3" s="327"/>
    </row>
    <row r="4" spans="1:17" ht="21.6" thickTop="1" thickBot="1" x14ac:dyDescent="0.25">
      <c r="A4" s="328" t="s">
        <v>1</v>
      </c>
      <c r="B4" s="329" t="s">
        <v>2</v>
      </c>
      <c r="C4" s="329" t="s">
        <v>3</v>
      </c>
      <c r="D4" s="329" t="s">
        <v>314</v>
      </c>
      <c r="E4" s="329" t="s">
        <v>4</v>
      </c>
      <c r="F4" s="330" t="s">
        <v>5</v>
      </c>
      <c r="G4" s="330" t="s">
        <v>6</v>
      </c>
      <c r="H4" s="330" t="s">
        <v>7</v>
      </c>
      <c r="I4" s="331" t="s">
        <v>8</v>
      </c>
      <c r="J4" s="329" t="s">
        <v>312</v>
      </c>
      <c r="K4" s="406" t="s">
        <v>803</v>
      </c>
      <c r="L4" s="406" t="s">
        <v>807</v>
      </c>
      <c r="M4" s="331" t="s">
        <v>39</v>
      </c>
      <c r="N4" s="331" t="s">
        <v>40</v>
      </c>
      <c r="O4" s="331" t="s">
        <v>41</v>
      </c>
      <c r="P4" s="331" t="s">
        <v>42</v>
      </c>
      <c r="Q4" s="331" t="s">
        <v>9</v>
      </c>
    </row>
    <row r="5" spans="1:17" ht="42" thickTop="1" thickBot="1" x14ac:dyDescent="0.25">
      <c r="A5" s="332" t="s">
        <v>25</v>
      </c>
      <c r="B5" s="333" t="s">
        <v>48</v>
      </c>
      <c r="C5" s="334" t="s">
        <v>24</v>
      </c>
      <c r="D5" s="337" t="s">
        <v>569</v>
      </c>
      <c r="E5" s="337" t="s">
        <v>570</v>
      </c>
      <c r="F5" s="335">
        <v>43647</v>
      </c>
      <c r="G5" s="335">
        <v>44012</v>
      </c>
      <c r="H5" s="338" t="s">
        <v>49</v>
      </c>
      <c r="I5" s="338" t="s">
        <v>11</v>
      </c>
      <c r="J5" s="339">
        <v>450000</v>
      </c>
      <c r="K5" s="410">
        <v>190000</v>
      </c>
      <c r="L5" s="409">
        <f t="shared" ref="L5:L10" si="0">J5-K5</f>
        <v>260000</v>
      </c>
      <c r="M5" s="332" t="s">
        <v>266</v>
      </c>
      <c r="N5" s="334" t="s">
        <v>268</v>
      </c>
      <c r="O5" s="334" t="s">
        <v>267</v>
      </c>
      <c r="P5" s="337" t="s">
        <v>571</v>
      </c>
      <c r="Q5" s="334" t="s">
        <v>503</v>
      </c>
    </row>
    <row r="6" spans="1:17" ht="42" thickTop="1" thickBot="1" x14ac:dyDescent="0.25">
      <c r="A6" s="332" t="s">
        <v>25</v>
      </c>
      <c r="B6" s="333" t="s">
        <v>48</v>
      </c>
      <c r="C6" s="332" t="s">
        <v>24</v>
      </c>
      <c r="D6" s="337" t="s">
        <v>572</v>
      </c>
      <c r="E6" s="340" t="s">
        <v>575</v>
      </c>
      <c r="F6" s="335">
        <v>43647</v>
      </c>
      <c r="G6" s="335">
        <v>44012</v>
      </c>
      <c r="H6" s="332" t="s">
        <v>49</v>
      </c>
      <c r="I6" s="332" t="s">
        <v>11</v>
      </c>
      <c r="J6" s="339">
        <v>350000</v>
      </c>
      <c r="K6" s="410">
        <v>300000</v>
      </c>
      <c r="L6" s="409">
        <f t="shared" si="0"/>
        <v>50000</v>
      </c>
      <c r="M6" s="334" t="s">
        <v>43</v>
      </c>
      <c r="N6" s="334" t="s">
        <v>268</v>
      </c>
      <c r="O6" s="334" t="s">
        <v>267</v>
      </c>
      <c r="P6" s="340" t="s">
        <v>573</v>
      </c>
      <c r="Q6" s="334" t="s">
        <v>503</v>
      </c>
    </row>
    <row r="7" spans="1:17" ht="42" thickTop="1" thickBot="1" x14ac:dyDescent="0.25">
      <c r="A7" s="334" t="s">
        <v>25</v>
      </c>
      <c r="B7" s="341" t="s">
        <v>48</v>
      </c>
      <c r="C7" s="334" t="s">
        <v>24</v>
      </c>
      <c r="D7" s="337" t="s">
        <v>574</v>
      </c>
      <c r="E7" s="337" t="s">
        <v>576</v>
      </c>
      <c r="F7" s="335">
        <v>43647</v>
      </c>
      <c r="G7" s="335">
        <v>44012</v>
      </c>
      <c r="H7" s="336" t="s">
        <v>49</v>
      </c>
      <c r="I7" s="336" t="s">
        <v>11</v>
      </c>
      <c r="J7" s="339">
        <v>250000</v>
      </c>
      <c r="K7" s="410">
        <v>235000</v>
      </c>
      <c r="L7" s="409">
        <f t="shared" si="0"/>
        <v>15000</v>
      </c>
      <c r="M7" s="334" t="s">
        <v>43</v>
      </c>
      <c r="N7" s="334" t="s">
        <v>268</v>
      </c>
      <c r="O7" s="334" t="s">
        <v>267</v>
      </c>
      <c r="P7" s="337" t="s">
        <v>577</v>
      </c>
      <c r="Q7" s="334" t="s">
        <v>503</v>
      </c>
    </row>
    <row r="8" spans="1:17" ht="42" thickTop="1" thickBot="1" x14ac:dyDescent="0.25">
      <c r="A8" s="334" t="s">
        <v>25</v>
      </c>
      <c r="B8" s="341" t="s">
        <v>48</v>
      </c>
      <c r="C8" s="334" t="s">
        <v>24</v>
      </c>
      <c r="D8" s="332" t="s">
        <v>808</v>
      </c>
      <c r="E8" s="332" t="s">
        <v>809</v>
      </c>
      <c r="F8" s="335">
        <v>43891</v>
      </c>
      <c r="G8" s="335">
        <v>44012</v>
      </c>
      <c r="H8" s="336" t="s">
        <v>49</v>
      </c>
      <c r="I8" s="336" t="s">
        <v>11</v>
      </c>
      <c r="J8" s="339">
        <v>1000000</v>
      </c>
      <c r="K8" s="410">
        <v>0</v>
      </c>
      <c r="L8" s="409">
        <f t="shared" si="0"/>
        <v>1000000</v>
      </c>
      <c r="M8" s="334" t="s">
        <v>12</v>
      </c>
      <c r="N8" s="334" t="s">
        <v>12</v>
      </c>
      <c r="O8" s="334" t="s">
        <v>491</v>
      </c>
      <c r="P8" s="340" t="s">
        <v>817</v>
      </c>
      <c r="Q8" s="334" t="s">
        <v>503</v>
      </c>
    </row>
    <row r="9" spans="1:17" ht="42" thickTop="1" thickBot="1" x14ac:dyDescent="0.25">
      <c r="A9" s="334" t="s">
        <v>25</v>
      </c>
      <c r="B9" s="341" t="s">
        <v>48</v>
      </c>
      <c r="C9" s="334" t="s">
        <v>20</v>
      </c>
      <c r="D9" s="342" t="s">
        <v>854</v>
      </c>
      <c r="E9" s="342" t="s">
        <v>855</v>
      </c>
      <c r="F9" s="335">
        <v>43647</v>
      </c>
      <c r="G9" s="335">
        <v>44012</v>
      </c>
      <c r="H9" s="336" t="s">
        <v>49</v>
      </c>
      <c r="I9" s="336" t="s">
        <v>11</v>
      </c>
      <c r="J9" s="339">
        <v>900000</v>
      </c>
      <c r="K9" s="410">
        <v>0</v>
      </c>
      <c r="L9" s="409">
        <f>J9-K9</f>
        <v>900000</v>
      </c>
      <c r="M9" s="334" t="s">
        <v>43</v>
      </c>
      <c r="N9" s="334" t="s">
        <v>268</v>
      </c>
      <c r="O9" s="334" t="s">
        <v>267</v>
      </c>
      <c r="P9" s="342" t="s">
        <v>856</v>
      </c>
      <c r="Q9" s="334" t="s">
        <v>503</v>
      </c>
    </row>
    <row r="10" spans="1:17" ht="99.6" customHeight="1" thickTop="1" thickBot="1" x14ac:dyDescent="0.25">
      <c r="A10" s="332"/>
      <c r="B10" s="333" t="s">
        <v>48</v>
      </c>
      <c r="C10" s="332" t="s">
        <v>20</v>
      </c>
      <c r="D10" s="334" t="s">
        <v>578</v>
      </c>
      <c r="E10" s="334" t="s">
        <v>579</v>
      </c>
      <c r="F10" s="335">
        <v>43647</v>
      </c>
      <c r="G10" s="335">
        <v>44012</v>
      </c>
      <c r="H10" s="336" t="s">
        <v>581</v>
      </c>
      <c r="I10" s="336" t="s">
        <v>11</v>
      </c>
      <c r="J10" s="339">
        <v>100000</v>
      </c>
      <c r="K10" s="410">
        <v>0</v>
      </c>
      <c r="L10" s="409">
        <f t="shared" si="0"/>
        <v>100000</v>
      </c>
      <c r="M10" s="334" t="s">
        <v>43</v>
      </c>
      <c r="N10" s="334" t="s">
        <v>268</v>
      </c>
      <c r="O10" s="334" t="s">
        <v>267</v>
      </c>
      <c r="P10" s="334" t="s">
        <v>580</v>
      </c>
      <c r="Q10" s="334" t="s">
        <v>504</v>
      </c>
    </row>
    <row r="11" spans="1:17" ht="10.8" thickTop="1" x14ac:dyDescent="0.2"/>
  </sheetData>
  <mergeCells count="1">
    <mergeCell ref="A1:Q2"/>
  </mergeCells>
  <phoneticPr fontId="58" type="noConversion"/>
  <pageMargins left="0.70866141732283472" right="0.70866141732283472" top="0.74803149606299213" bottom="0.74803149606299213" header="0.31496062992125984" footer="0.31496062992125984"/>
  <pageSetup paperSize="9" scale="65" fitToHeight="0" orientation="landscape" r:id="rId1"/>
  <headerFooter>
    <oddHeader>&amp;CMUNICIPAL TRANSFORMATION AND DEVELOPMENT</oddHeader>
    <oddFooter>&amp;L2018/19 SDBIP&amp;CMUNICIPAL TRANSFORMATION AND DEVELOPMENT PROJECTS &amp;RPage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view="pageBreakPreview" zoomScale="60" zoomScaleNormal="100" workbookViewId="0">
      <selection activeCell="AE27" sqref="AE27"/>
    </sheetView>
  </sheetViews>
  <sheetFormatPr defaultRowHeight="14.4" x14ac:dyDescent="0.3"/>
  <cols>
    <col min="1" max="1" width="57.6640625" customWidth="1"/>
    <col min="2" max="2" width="14.6640625" customWidth="1"/>
    <col min="14" max="14" width="24.33203125" customWidth="1"/>
  </cols>
  <sheetData>
    <row r="1" spans="1:2" ht="19.2" thickTop="1" thickBot="1" x14ac:dyDescent="0.35">
      <c r="A1" s="79" t="s">
        <v>216</v>
      </c>
      <c r="B1" s="79"/>
    </row>
    <row r="2" spans="1:2" ht="15.6" thickTop="1" thickBot="1" x14ac:dyDescent="0.35">
      <c r="A2" s="80" t="s">
        <v>237</v>
      </c>
      <c r="B2" s="81">
        <v>3</v>
      </c>
    </row>
    <row r="3" spans="1:2" s="1" customFormat="1" ht="15.6" thickTop="1" thickBot="1" x14ac:dyDescent="0.35">
      <c r="A3" s="80"/>
      <c r="B3" s="81"/>
    </row>
    <row r="4" spans="1:2" ht="15.6" thickTop="1" thickBot="1" x14ac:dyDescent="0.35">
      <c r="A4" s="80" t="s">
        <v>217</v>
      </c>
      <c r="B4" s="81">
        <v>6</v>
      </c>
    </row>
    <row r="5" spans="1:2" ht="15.6" thickTop="1" thickBot="1" x14ac:dyDescent="0.35">
      <c r="A5" s="80"/>
      <c r="B5" s="81"/>
    </row>
    <row r="6" spans="1:2" ht="15.6" thickTop="1" thickBot="1" x14ac:dyDescent="0.35">
      <c r="A6" s="80" t="s">
        <v>218</v>
      </c>
      <c r="B6" s="81">
        <v>7</v>
      </c>
    </row>
    <row r="7" spans="1:2" s="86" customFormat="1" ht="15.6" thickTop="1" thickBot="1" x14ac:dyDescent="0.35">
      <c r="A7" s="80"/>
      <c r="B7" s="81"/>
    </row>
    <row r="8" spans="1:2" s="1" customFormat="1" ht="15.6" thickTop="1" thickBot="1" x14ac:dyDescent="0.35">
      <c r="A8" s="80" t="s">
        <v>452</v>
      </c>
      <c r="B8" s="131"/>
    </row>
    <row r="9" spans="1:2" s="85" customFormat="1" ht="15.6" thickTop="1" thickBot="1" x14ac:dyDescent="0.35">
      <c r="A9" s="80" t="s">
        <v>800</v>
      </c>
      <c r="B9" s="81">
        <v>8</v>
      </c>
    </row>
    <row r="10" spans="1:2" s="85" customFormat="1" ht="15.6" thickTop="1" thickBot="1" x14ac:dyDescent="0.35">
      <c r="A10" s="80" t="s">
        <v>801</v>
      </c>
      <c r="B10" s="81">
        <v>11</v>
      </c>
    </row>
    <row r="11" spans="1:2" s="85" customFormat="1" ht="15.6" thickTop="1" thickBot="1" x14ac:dyDescent="0.35">
      <c r="A11" s="80" t="s">
        <v>802</v>
      </c>
      <c r="B11" s="81">
        <v>16</v>
      </c>
    </row>
    <row r="12" spans="1:2" s="86" customFormat="1" ht="15.6" thickTop="1" thickBot="1" x14ac:dyDescent="0.35">
      <c r="A12" s="80"/>
      <c r="B12" s="81"/>
    </row>
    <row r="13" spans="1:2" s="1" customFormat="1" ht="28.8" thickTop="1" thickBot="1" x14ac:dyDescent="0.35">
      <c r="A13" s="82" t="s">
        <v>453</v>
      </c>
      <c r="B13" s="81"/>
    </row>
    <row r="14" spans="1:2" s="102" customFormat="1" ht="15.6" thickTop="1" thickBot="1" x14ac:dyDescent="0.35">
      <c r="A14" s="132" t="s">
        <v>508</v>
      </c>
      <c r="B14" s="130">
        <v>18</v>
      </c>
    </row>
    <row r="15" spans="1:2" s="102" customFormat="1" ht="15.6" thickTop="1" thickBot="1" x14ac:dyDescent="0.35">
      <c r="A15" s="132" t="s">
        <v>509</v>
      </c>
      <c r="B15" s="130">
        <v>19</v>
      </c>
    </row>
    <row r="16" spans="1:2" s="102" customFormat="1" ht="15.6" thickTop="1" thickBot="1" x14ac:dyDescent="0.35">
      <c r="A16" s="132" t="s">
        <v>509</v>
      </c>
      <c r="B16" s="130">
        <v>20</v>
      </c>
    </row>
    <row r="17" spans="1:2" s="102" customFormat="1" ht="15.6" thickTop="1" thickBot="1" x14ac:dyDescent="0.35">
      <c r="A17" s="132"/>
      <c r="B17" s="130"/>
    </row>
    <row r="18" spans="1:2" ht="15.6" thickTop="1" thickBot="1" x14ac:dyDescent="0.35">
      <c r="A18" s="80" t="s">
        <v>219</v>
      </c>
      <c r="B18" s="81">
        <v>22</v>
      </c>
    </row>
    <row r="19" spans="1:2" ht="15.6" thickTop="1" thickBot="1" x14ac:dyDescent="0.35">
      <c r="A19" s="80" t="s">
        <v>221</v>
      </c>
      <c r="B19" s="81">
        <v>25</v>
      </c>
    </row>
    <row r="20" spans="1:2" s="1" customFormat="1" ht="15.6" thickTop="1" thickBot="1" x14ac:dyDescent="0.35">
      <c r="A20" s="80" t="s">
        <v>451</v>
      </c>
      <c r="B20" s="81">
        <v>27</v>
      </c>
    </row>
    <row r="21" spans="1:2" ht="15.6" thickTop="1" thickBot="1" x14ac:dyDescent="0.35">
      <c r="A21" s="80" t="s">
        <v>224</v>
      </c>
      <c r="B21" s="81">
        <v>28</v>
      </c>
    </row>
    <row r="22" spans="1:2" ht="15.6" thickTop="1" thickBot="1" x14ac:dyDescent="0.35">
      <c r="A22" s="80" t="s">
        <v>226</v>
      </c>
      <c r="B22" s="81">
        <v>32</v>
      </c>
    </row>
    <row r="23" spans="1:2" s="1" customFormat="1" ht="15.6" thickTop="1" thickBot="1" x14ac:dyDescent="0.35">
      <c r="A23" s="80"/>
      <c r="B23" s="81"/>
    </row>
    <row r="24" spans="1:2" s="86" customFormat="1" ht="15.6" thickTop="1" thickBot="1" x14ac:dyDescent="0.35">
      <c r="A24" s="80" t="s">
        <v>454</v>
      </c>
      <c r="B24" s="84"/>
    </row>
    <row r="25" spans="1:2" ht="15.6" thickTop="1" thickBot="1" x14ac:dyDescent="0.35">
      <c r="A25" s="80" t="s">
        <v>507</v>
      </c>
      <c r="B25" s="81">
        <v>34</v>
      </c>
    </row>
    <row r="26" spans="1:2" ht="15.6" thickTop="1" thickBot="1" x14ac:dyDescent="0.35">
      <c r="A26" s="80"/>
      <c r="B26" s="81"/>
    </row>
    <row r="27" spans="1:2" ht="15.6" thickTop="1" thickBot="1" x14ac:dyDescent="0.35">
      <c r="A27" s="83" t="s">
        <v>220</v>
      </c>
      <c r="B27" s="81">
        <v>35</v>
      </c>
    </row>
    <row r="28" spans="1:2" ht="15.6" thickTop="1" thickBot="1" x14ac:dyDescent="0.35">
      <c r="A28" s="80" t="s">
        <v>222</v>
      </c>
      <c r="B28" s="81">
        <v>37</v>
      </c>
    </row>
    <row r="29" spans="1:2" ht="15.6" thickTop="1" thickBot="1" x14ac:dyDescent="0.35">
      <c r="A29" s="80" t="s">
        <v>223</v>
      </c>
      <c r="B29" s="81">
        <v>42</v>
      </c>
    </row>
    <row r="30" spans="1:2" ht="15.6" thickTop="1" thickBot="1" x14ac:dyDescent="0.35">
      <c r="A30" s="80" t="s">
        <v>225</v>
      </c>
      <c r="B30" s="81">
        <v>43</v>
      </c>
    </row>
    <row r="31" spans="1:2" ht="15.6" thickTop="1" thickBot="1" x14ac:dyDescent="0.35">
      <c r="A31" s="80" t="s">
        <v>227</v>
      </c>
      <c r="B31" s="81">
        <v>44</v>
      </c>
    </row>
    <row r="32" spans="1:2" s="102" customFormat="1" ht="15.6" thickTop="1" thickBot="1" x14ac:dyDescent="0.35">
      <c r="A32" s="129"/>
      <c r="B32" s="130"/>
    </row>
    <row r="33" spans="1:18" s="102" customFormat="1" ht="15.6" thickTop="1" thickBot="1" x14ac:dyDescent="0.35">
      <c r="A33" s="129"/>
      <c r="B33" s="130"/>
    </row>
    <row r="34" spans="1:18" s="102" customFormat="1" ht="15.6" thickTop="1" thickBot="1" x14ac:dyDescent="0.35">
      <c r="A34" s="129"/>
      <c r="B34" s="130"/>
    </row>
    <row r="35" spans="1:18" ht="15.6" thickTop="1" thickBot="1" x14ac:dyDescent="0.35">
      <c r="A35" s="80" t="s">
        <v>228</v>
      </c>
      <c r="B35" s="84">
        <v>45</v>
      </c>
    </row>
    <row r="36" spans="1:18" ht="15" thickTop="1" x14ac:dyDescent="0.3"/>
    <row r="48" spans="1:18" x14ac:dyDescent="0.3">
      <c r="R48" s="3"/>
    </row>
  </sheetData>
  <pageMargins left="0.70866141732283472" right="0.70866141732283472" top="0.74803149606299213" bottom="0.74803149606299213" header="0.31496062992125984" footer="0.31496062992125984"/>
  <pageSetup paperSize="9" fitToHeight="0" orientation="portrait" r:id="rId1"/>
  <headerFooter>
    <oddFooter>&amp;CINDEX 2019/20 SDBIP&amp;RPage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89"/>
  <sheetViews>
    <sheetView view="pageBreakPreview" topLeftCell="A11" zoomScaleNormal="100" zoomScaleSheetLayoutView="100" zoomScalePageLayoutView="89" workbookViewId="0">
      <selection activeCell="A22" sqref="A22:XFD35"/>
    </sheetView>
  </sheetViews>
  <sheetFormatPr defaultColWidth="8.88671875" defaultRowHeight="13.8" x14ac:dyDescent="0.3"/>
  <cols>
    <col min="1" max="1" width="7.5546875" style="387" customWidth="1"/>
    <col min="2" max="2" width="13.33203125" style="39" customWidth="1"/>
    <col min="3" max="3" width="11.88671875" style="39" customWidth="1"/>
    <col min="4" max="4" width="36" style="388" customWidth="1"/>
    <col min="5" max="5" width="16.109375" style="112" customWidth="1"/>
    <col min="6" max="6" width="11" style="39" customWidth="1"/>
    <col min="7" max="7" width="12.33203125" style="39" customWidth="1"/>
    <col min="8" max="9" width="8.88671875" style="39"/>
    <col min="10" max="11" width="11.5546875" style="39" customWidth="1"/>
    <col min="12" max="12" width="12.44140625" style="39" bestFit="1" customWidth="1"/>
    <col min="13" max="13" width="16.6640625" style="39" customWidth="1"/>
    <col min="14" max="14" width="20" style="39" customWidth="1"/>
    <col min="15" max="15" width="17.44140625" style="39" customWidth="1"/>
    <col min="16" max="16" width="16.6640625" style="39" customWidth="1"/>
    <col min="17" max="17" width="20" style="39" customWidth="1"/>
    <col min="18" max="16384" width="8.88671875" style="39"/>
  </cols>
  <sheetData>
    <row r="1" spans="1:17" ht="14.4" thickTop="1" x14ac:dyDescent="0.3">
      <c r="A1" s="595" t="s">
        <v>542</v>
      </c>
      <c r="B1" s="596"/>
      <c r="C1" s="596"/>
      <c r="D1" s="596"/>
      <c r="E1" s="596"/>
      <c r="F1" s="596"/>
      <c r="G1" s="596"/>
      <c r="H1" s="596"/>
      <c r="I1" s="596"/>
      <c r="J1" s="596"/>
      <c r="K1" s="596"/>
      <c r="L1" s="596"/>
      <c r="M1" s="596"/>
      <c r="N1" s="596"/>
      <c r="O1" s="596"/>
      <c r="P1" s="596"/>
      <c r="Q1" s="597"/>
    </row>
    <row r="2" spans="1:17" ht="14.4" thickBot="1" x14ac:dyDescent="0.35">
      <c r="A2" s="598"/>
      <c r="B2" s="599"/>
      <c r="C2" s="599"/>
      <c r="D2" s="599"/>
      <c r="E2" s="599"/>
      <c r="F2" s="599"/>
      <c r="G2" s="599"/>
      <c r="H2" s="599"/>
      <c r="I2" s="599"/>
      <c r="J2" s="599"/>
      <c r="K2" s="599"/>
      <c r="L2" s="599"/>
      <c r="M2" s="599"/>
      <c r="N2" s="599"/>
      <c r="O2" s="599"/>
      <c r="P2" s="599"/>
      <c r="Q2" s="600"/>
    </row>
    <row r="3" spans="1:17" ht="15" thickTop="1" thickBot="1" x14ac:dyDescent="0.35">
      <c r="A3" s="363"/>
      <c r="B3" s="363"/>
      <c r="C3" s="363"/>
      <c r="D3" s="363"/>
      <c r="E3" s="363" t="s">
        <v>46</v>
      </c>
      <c r="F3" s="363"/>
      <c r="G3" s="363"/>
      <c r="H3" s="363"/>
      <c r="I3" s="363"/>
      <c r="J3" s="363"/>
      <c r="K3" s="412"/>
      <c r="L3" s="412"/>
      <c r="M3" s="363"/>
      <c r="N3" s="363"/>
      <c r="O3" s="363"/>
      <c r="P3" s="363"/>
      <c r="Q3" s="363"/>
    </row>
    <row r="4" spans="1:17" ht="40.799999999999997" thickTop="1" thickBot="1" x14ac:dyDescent="0.35">
      <c r="A4" s="379" t="s">
        <v>342</v>
      </c>
      <c r="B4" s="380" t="s">
        <v>2</v>
      </c>
      <c r="C4" s="380" t="s">
        <v>3</v>
      </c>
      <c r="D4" s="380" t="s">
        <v>343</v>
      </c>
      <c r="E4" s="380" t="s">
        <v>4</v>
      </c>
      <c r="F4" s="381" t="s">
        <v>5</v>
      </c>
      <c r="G4" s="381" t="s">
        <v>6</v>
      </c>
      <c r="H4" s="381" t="s">
        <v>7</v>
      </c>
      <c r="I4" s="382" t="s">
        <v>8</v>
      </c>
      <c r="J4" s="380" t="s">
        <v>310</v>
      </c>
      <c r="K4" s="413" t="s">
        <v>803</v>
      </c>
      <c r="L4" s="413" t="s">
        <v>804</v>
      </c>
      <c r="M4" s="382" t="s">
        <v>39</v>
      </c>
      <c r="N4" s="382" t="s">
        <v>40</v>
      </c>
      <c r="O4" s="382" t="s">
        <v>41</v>
      </c>
      <c r="P4" s="382" t="s">
        <v>42</v>
      </c>
      <c r="Q4" s="382" t="s">
        <v>9</v>
      </c>
    </row>
    <row r="5" spans="1:17" ht="42.6" thickTop="1" thickBot="1" x14ac:dyDescent="0.35">
      <c r="A5" s="383" t="s">
        <v>19</v>
      </c>
      <c r="B5" s="110" t="s">
        <v>10</v>
      </c>
      <c r="C5" s="103" t="s">
        <v>709</v>
      </c>
      <c r="D5" s="103" t="s">
        <v>706</v>
      </c>
      <c r="E5" s="103" t="s">
        <v>586</v>
      </c>
      <c r="F5" s="384">
        <v>43647</v>
      </c>
      <c r="G5" s="384">
        <v>44012</v>
      </c>
      <c r="H5" s="103" t="s">
        <v>38</v>
      </c>
      <c r="I5" s="105" t="s">
        <v>11</v>
      </c>
      <c r="J5" s="107">
        <v>3000</v>
      </c>
      <c r="K5" s="414">
        <v>0</v>
      </c>
      <c r="L5" s="414">
        <f>J5-K5</f>
        <v>3000</v>
      </c>
      <c r="M5" s="103" t="s">
        <v>43</v>
      </c>
      <c r="N5" s="103" t="s">
        <v>708</v>
      </c>
      <c r="O5" s="103" t="s">
        <v>587</v>
      </c>
      <c r="P5" s="103" t="s">
        <v>12</v>
      </c>
      <c r="Q5" s="103" t="s">
        <v>502</v>
      </c>
    </row>
    <row r="6" spans="1:17" ht="56.4" thickTop="1" thickBot="1" x14ac:dyDescent="0.35">
      <c r="A6" s="385">
        <v>5</v>
      </c>
      <c r="B6" s="110" t="s">
        <v>10</v>
      </c>
      <c r="C6" s="103" t="s">
        <v>28</v>
      </c>
      <c r="D6" s="103" t="s">
        <v>588</v>
      </c>
      <c r="E6" s="110" t="s">
        <v>589</v>
      </c>
      <c r="F6" s="384">
        <v>43647</v>
      </c>
      <c r="G6" s="384">
        <v>44012</v>
      </c>
      <c r="H6" s="103" t="s">
        <v>37</v>
      </c>
      <c r="I6" s="105" t="s">
        <v>11</v>
      </c>
      <c r="J6" s="107">
        <v>1500000</v>
      </c>
      <c r="K6" s="414">
        <v>0</v>
      </c>
      <c r="L6" s="414">
        <f t="shared" ref="L6:L34" si="0">J6-K6</f>
        <v>1500000</v>
      </c>
      <c r="M6" s="103" t="s">
        <v>43</v>
      </c>
      <c r="N6" s="103" t="s">
        <v>590</v>
      </c>
      <c r="O6" s="103" t="s">
        <v>594</v>
      </c>
      <c r="P6" s="103" t="s">
        <v>818</v>
      </c>
      <c r="Q6" s="103" t="s">
        <v>819</v>
      </c>
    </row>
    <row r="7" spans="1:17" ht="67.2" thickTop="1" thickBot="1" x14ac:dyDescent="0.35">
      <c r="A7" s="385">
        <v>6</v>
      </c>
      <c r="B7" s="110" t="s">
        <v>10</v>
      </c>
      <c r="C7" s="103" t="s">
        <v>284</v>
      </c>
      <c r="D7" s="110" t="s">
        <v>592</v>
      </c>
      <c r="E7" s="110" t="s">
        <v>591</v>
      </c>
      <c r="F7" s="384">
        <v>43647</v>
      </c>
      <c r="G7" s="384">
        <v>44012</v>
      </c>
      <c r="H7" s="103" t="s">
        <v>38</v>
      </c>
      <c r="I7" s="105" t="s">
        <v>11</v>
      </c>
      <c r="J7" s="107">
        <v>200000</v>
      </c>
      <c r="K7" s="414">
        <v>0</v>
      </c>
      <c r="L7" s="414">
        <f t="shared" si="0"/>
        <v>200000</v>
      </c>
      <c r="M7" s="103" t="s">
        <v>43</v>
      </c>
      <c r="N7" s="103" t="s">
        <v>590</v>
      </c>
      <c r="O7" s="103" t="s">
        <v>594</v>
      </c>
      <c r="P7" s="103" t="s">
        <v>593</v>
      </c>
      <c r="Q7" s="103" t="s">
        <v>488</v>
      </c>
    </row>
    <row r="8" spans="1:17" ht="84" thickTop="1" thickBot="1" x14ac:dyDescent="0.35">
      <c r="A8" s="385">
        <v>3</v>
      </c>
      <c r="B8" s="110" t="s">
        <v>10</v>
      </c>
      <c r="C8" s="103" t="s">
        <v>284</v>
      </c>
      <c r="D8" s="103" t="s">
        <v>820</v>
      </c>
      <c r="E8" s="103" t="s">
        <v>595</v>
      </c>
      <c r="F8" s="384">
        <v>43647</v>
      </c>
      <c r="G8" s="384">
        <v>44012</v>
      </c>
      <c r="H8" s="103" t="s">
        <v>38</v>
      </c>
      <c r="I8" s="105" t="s">
        <v>11</v>
      </c>
      <c r="J8" s="106">
        <v>30000</v>
      </c>
      <c r="K8" s="415">
        <v>0</v>
      </c>
      <c r="L8" s="414">
        <f t="shared" si="0"/>
        <v>30000</v>
      </c>
      <c r="M8" s="103" t="s">
        <v>43</v>
      </c>
      <c r="N8" s="103" t="s">
        <v>590</v>
      </c>
      <c r="O8" s="103" t="s">
        <v>823</v>
      </c>
      <c r="P8" s="103" t="s">
        <v>821</v>
      </c>
      <c r="Q8" s="103" t="s">
        <v>822</v>
      </c>
    </row>
    <row r="9" spans="1:17" ht="56.4" thickTop="1" thickBot="1" x14ac:dyDescent="0.35">
      <c r="A9" s="383" t="s">
        <v>19</v>
      </c>
      <c r="B9" s="386" t="s">
        <v>10</v>
      </c>
      <c r="C9" s="386" t="s">
        <v>711</v>
      </c>
      <c r="D9" s="103" t="s">
        <v>710</v>
      </c>
      <c r="E9" s="110" t="s">
        <v>596</v>
      </c>
      <c r="F9" s="384">
        <v>43647</v>
      </c>
      <c r="G9" s="384">
        <v>44012</v>
      </c>
      <c r="H9" s="103" t="s">
        <v>38</v>
      </c>
      <c r="I9" s="105" t="s">
        <v>11</v>
      </c>
      <c r="J9" s="106">
        <v>200000</v>
      </c>
      <c r="K9" s="415">
        <v>0</v>
      </c>
      <c r="L9" s="414">
        <f t="shared" si="0"/>
        <v>200000</v>
      </c>
      <c r="M9" s="103" t="s">
        <v>303</v>
      </c>
      <c r="N9" s="103" t="s">
        <v>304</v>
      </c>
      <c r="O9" s="103" t="s">
        <v>305</v>
      </c>
      <c r="P9" s="103" t="s">
        <v>597</v>
      </c>
      <c r="Q9" s="103" t="s">
        <v>502</v>
      </c>
    </row>
    <row r="10" spans="1:17" ht="56.4" thickTop="1" thickBot="1" x14ac:dyDescent="0.35">
      <c r="A10" s="385">
        <v>27</v>
      </c>
      <c r="B10" s="110" t="s">
        <v>10</v>
      </c>
      <c r="C10" s="103" t="s">
        <v>13</v>
      </c>
      <c r="D10" s="103" t="s">
        <v>724</v>
      </c>
      <c r="E10" s="110" t="s">
        <v>599</v>
      </c>
      <c r="F10" s="384">
        <v>43647</v>
      </c>
      <c r="G10" s="384">
        <v>44012</v>
      </c>
      <c r="H10" s="103" t="s">
        <v>37</v>
      </c>
      <c r="I10" s="105" t="s">
        <v>11</v>
      </c>
      <c r="J10" s="107">
        <v>6048695.2999999998</v>
      </c>
      <c r="K10" s="414">
        <v>1500000</v>
      </c>
      <c r="L10" s="414">
        <f t="shared" si="0"/>
        <v>4548695.3</v>
      </c>
      <c r="M10" s="103" t="s">
        <v>719</v>
      </c>
      <c r="N10" s="103" t="s">
        <v>720</v>
      </c>
      <c r="O10" s="103" t="s">
        <v>721</v>
      </c>
      <c r="P10" s="103" t="s">
        <v>722</v>
      </c>
      <c r="Q10" s="103" t="s">
        <v>723</v>
      </c>
    </row>
    <row r="11" spans="1:17" ht="84" thickTop="1" thickBot="1" x14ac:dyDescent="0.35">
      <c r="A11" s="385">
        <v>16</v>
      </c>
      <c r="B11" s="110" t="s">
        <v>10</v>
      </c>
      <c r="C11" s="103" t="s">
        <v>13</v>
      </c>
      <c r="D11" s="103" t="s">
        <v>727</v>
      </c>
      <c r="E11" s="110" t="s">
        <v>600</v>
      </c>
      <c r="F11" s="384">
        <v>43647</v>
      </c>
      <c r="G11" s="384">
        <v>44012</v>
      </c>
      <c r="H11" s="103" t="s">
        <v>37</v>
      </c>
      <c r="I11" s="105" t="s">
        <v>11</v>
      </c>
      <c r="J11" s="107">
        <v>5742628.9800000004</v>
      </c>
      <c r="K11" s="414">
        <v>1000000</v>
      </c>
      <c r="L11" s="414">
        <f t="shared" si="0"/>
        <v>4742628.9800000004</v>
      </c>
      <c r="M11" s="103" t="s">
        <v>719</v>
      </c>
      <c r="N11" s="103" t="s">
        <v>720</v>
      </c>
      <c r="O11" s="103" t="s">
        <v>721</v>
      </c>
      <c r="P11" s="103" t="s">
        <v>493</v>
      </c>
      <c r="Q11" s="103" t="s">
        <v>494</v>
      </c>
    </row>
    <row r="12" spans="1:17" ht="42.6" thickTop="1" thickBot="1" x14ac:dyDescent="0.35">
      <c r="A12" s="385" t="s">
        <v>29</v>
      </c>
      <c r="B12" s="110" t="s">
        <v>10</v>
      </c>
      <c r="C12" s="103" t="s">
        <v>31</v>
      </c>
      <c r="D12" s="103" t="s">
        <v>779</v>
      </c>
      <c r="E12" s="110" t="s">
        <v>780</v>
      </c>
      <c r="F12" s="384">
        <v>43647</v>
      </c>
      <c r="G12" s="384">
        <v>44012</v>
      </c>
      <c r="H12" s="103" t="s">
        <v>38</v>
      </c>
      <c r="I12" s="105" t="s">
        <v>11</v>
      </c>
      <c r="J12" s="107">
        <v>400000</v>
      </c>
      <c r="K12" s="414">
        <v>0</v>
      </c>
      <c r="L12" s="414">
        <f t="shared" si="0"/>
        <v>400000</v>
      </c>
      <c r="M12" s="103" t="s">
        <v>43</v>
      </c>
      <c r="N12" s="103" t="s">
        <v>568</v>
      </c>
      <c r="O12" s="103" t="s">
        <v>601</v>
      </c>
      <c r="P12" s="103" t="s">
        <v>781</v>
      </c>
      <c r="Q12" s="103" t="s">
        <v>502</v>
      </c>
    </row>
    <row r="13" spans="1:17" ht="50.4" customHeight="1" thickTop="1" thickBot="1" x14ac:dyDescent="0.35">
      <c r="A13" s="385" t="s">
        <v>29</v>
      </c>
      <c r="B13" s="110" t="s">
        <v>10</v>
      </c>
      <c r="C13" s="103" t="s">
        <v>31</v>
      </c>
      <c r="D13" s="103" t="s">
        <v>811</v>
      </c>
      <c r="E13" s="110" t="s">
        <v>810</v>
      </c>
      <c r="F13" s="384">
        <v>43647</v>
      </c>
      <c r="G13" s="384">
        <v>44012</v>
      </c>
      <c r="H13" s="103" t="s">
        <v>38</v>
      </c>
      <c r="I13" s="105" t="s">
        <v>11</v>
      </c>
      <c r="J13" s="107">
        <v>140000</v>
      </c>
      <c r="K13" s="414">
        <v>0</v>
      </c>
      <c r="L13" s="414">
        <f>J13+K13</f>
        <v>140000</v>
      </c>
      <c r="M13" s="103" t="s">
        <v>43</v>
      </c>
      <c r="N13" s="103" t="s">
        <v>568</v>
      </c>
      <c r="O13" s="103" t="s">
        <v>594</v>
      </c>
      <c r="P13" s="103" t="s">
        <v>712</v>
      </c>
      <c r="Q13" s="103" t="s">
        <v>502</v>
      </c>
    </row>
    <row r="14" spans="1:17" ht="42.6" thickTop="1" thickBot="1" x14ac:dyDescent="0.35">
      <c r="A14" s="385" t="s">
        <v>29</v>
      </c>
      <c r="B14" s="110" t="s">
        <v>10</v>
      </c>
      <c r="C14" s="103" t="s">
        <v>31</v>
      </c>
      <c r="D14" s="103" t="s">
        <v>729</v>
      </c>
      <c r="E14" s="110" t="s">
        <v>603</v>
      </c>
      <c r="F14" s="384">
        <v>43647</v>
      </c>
      <c r="G14" s="384">
        <v>44012</v>
      </c>
      <c r="H14" s="103" t="s">
        <v>38</v>
      </c>
      <c r="I14" s="105" t="s">
        <v>11</v>
      </c>
      <c r="J14" s="107">
        <v>200000</v>
      </c>
      <c r="K14" s="414">
        <v>0</v>
      </c>
      <c r="L14" s="414">
        <f t="shared" si="0"/>
        <v>200000</v>
      </c>
      <c r="M14" s="103" t="s">
        <v>266</v>
      </c>
      <c r="N14" s="103" t="s">
        <v>268</v>
      </c>
      <c r="O14" s="103" t="s">
        <v>496</v>
      </c>
      <c r="P14" s="103" t="s">
        <v>602</v>
      </c>
      <c r="Q14" s="103" t="s">
        <v>502</v>
      </c>
    </row>
    <row r="15" spans="1:17" ht="42.6" thickTop="1" thickBot="1" x14ac:dyDescent="0.35">
      <c r="A15" s="385" t="s">
        <v>29</v>
      </c>
      <c r="B15" s="110" t="s">
        <v>10</v>
      </c>
      <c r="C15" s="103" t="s">
        <v>713</v>
      </c>
      <c r="D15" s="103" t="s">
        <v>656</v>
      </c>
      <c r="E15" s="110" t="s">
        <v>657</v>
      </c>
      <c r="F15" s="384">
        <v>43647</v>
      </c>
      <c r="G15" s="384">
        <v>44012</v>
      </c>
      <c r="H15" s="103" t="s">
        <v>37</v>
      </c>
      <c r="I15" s="105" t="s">
        <v>11</v>
      </c>
      <c r="J15" s="107">
        <v>1773891.51</v>
      </c>
      <c r="K15" s="414">
        <v>0</v>
      </c>
      <c r="L15" s="414">
        <f t="shared" si="0"/>
        <v>1773891.51</v>
      </c>
      <c r="M15" s="103" t="s">
        <v>266</v>
      </c>
      <c r="N15" s="103" t="s">
        <v>268</v>
      </c>
      <c r="O15" s="103" t="s">
        <v>824</v>
      </c>
      <c r="P15" s="103" t="s">
        <v>607</v>
      </c>
      <c r="Q15" s="103" t="s">
        <v>825</v>
      </c>
    </row>
    <row r="16" spans="1:17" ht="52.5" customHeight="1" thickTop="1" thickBot="1" x14ac:dyDescent="0.35">
      <c r="A16" s="385" t="s">
        <v>29</v>
      </c>
      <c r="B16" s="110" t="s">
        <v>10</v>
      </c>
      <c r="C16" s="103" t="s">
        <v>714</v>
      </c>
      <c r="D16" s="430" t="s">
        <v>813</v>
      </c>
      <c r="E16" s="430" t="s">
        <v>812</v>
      </c>
      <c r="F16" s="384">
        <v>43891</v>
      </c>
      <c r="G16" s="384">
        <v>44012</v>
      </c>
      <c r="H16" s="103" t="s">
        <v>37</v>
      </c>
      <c r="I16" s="105" t="s">
        <v>11</v>
      </c>
      <c r="J16" s="414">
        <v>700000</v>
      </c>
      <c r="K16" s="414">
        <v>0</v>
      </c>
      <c r="L16" s="414">
        <f t="shared" si="0"/>
        <v>700000</v>
      </c>
      <c r="M16" s="103" t="s">
        <v>266</v>
      </c>
      <c r="N16" s="103" t="s">
        <v>268</v>
      </c>
      <c r="O16" s="103" t="s">
        <v>267</v>
      </c>
      <c r="P16" s="103" t="s">
        <v>649</v>
      </c>
      <c r="Q16" s="103" t="s">
        <v>827</v>
      </c>
    </row>
    <row r="17" spans="1:17" ht="69" customHeight="1" thickTop="1" thickBot="1" x14ac:dyDescent="0.35">
      <c r="A17" s="385">
        <v>29</v>
      </c>
      <c r="B17" s="110" t="s">
        <v>10</v>
      </c>
      <c r="C17" s="103" t="s">
        <v>714</v>
      </c>
      <c r="D17" s="103" t="s">
        <v>814</v>
      </c>
      <c r="E17" s="103" t="s">
        <v>828</v>
      </c>
      <c r="F17" s="384">
        <v>43891</v>
      </c>
      <c r="G17" s="384">
        <v>44012</v>
      </c>
      <c r="H17" s="103" t="s">
        <v>37</v>
      </c>
      <c r="I17" s="105" t="s">
        <v>11</v>
      </c>
      <c r="J17" s="107">
        <v>3000000</v>
      </c>
      <c r="K17" s="414">
        <v>0</v>
      </c>
      <c r="L17" s="414">
        <f t="shared" ref="L17" si="1">J17-K17</f>
        <v>3000000</v>
      </c>
      <c r="M17" s="108" t="s">
        <v>266</v>
      </c>
      <c r="N17" s="108" t="s">
        <v>268</v>
      </c>
      <c r="O17" s="108" t="s">
        <v>267</v>
      </c>
      <c r="P17" s="108" t="s">
        <v>826</v>
      </c>
      <c r="Q17" s="103" t="s">
        <v>829</v>
      </c>
    </row>
    <row r="18" spans="1:17" ht="42.6" thickTop="1" thickBot="1" x14ac:dyDescent="0.35">
      <c r="A18" s="385">
        <v>2</v>
      </c>
      <c r="B18" s="110" t="s">
        <v>10</v>
      </c>
      <c r="C18" s="103" t="s">
        <v>714</v>
      </c>
      <c r="D18" s="103" t="s">
        <v>730</v>
      </c>
      <c r="E18" s="110" t="s">
        <v>658</v>
      </c>
      <c r="F18" s="384">
        <v>43647</v>
      </c>
      <c r="G18" s="384">
        <v>44012</v>
      </c>
      <c r="H18" s="103" t="s">
        <v>37</v>
      </c>
      <c r="I18" s="105" t="s">
        <v>11</v>
      </c>
      <c r="J18" s="107">
        <v>2384009</v>
      </c>
      <c r="K18" s="414">
        <v>0</v>
      </c>
      <c r="L18" s="414">
        <f t="shared" si="0"/>
        <v>2384009</v>
      </c>
      <c r="M18" s="103" t="s">
        <v>719</v>
      </c>
      <c r="N18" s="103" t="s">
        <v>720</v>
      </c>
      <c r="O18" s="103" t="s">
        <v>728</v>
      </c>
      <c r="P18" s="103" t="s">
        <v>607</v>
      </c>
      <c r="Q18" s="103" t="s">
        <v>827</v>
      </c>
    </row>
    <row r="19" spans="1:17" ht="42.6" thickTop="1" thickBot="1" x14ac:dyDescent="0.35">
      <c r="A19" s="385">
        <v>6</v>
      </c>
      <c r="B19" s="110" t="s">
        <v>10</v>
      </c>
      <c r="C19" s="103" t="s">
        <v>714</v>
      </c>
      <c r="D19" s="103" t="s">
        <v>659</v>
      </c>
      <c r="E19" s="110" t="s">
        <v>660</v>
      </c>
      <c r="F19" s="384">
        <v>43647</v>
      </c>
      <c r="G19" s="384">
        <v>44012</v>
      </c>
      <c r="H19" s="103" t="s">
        <v>37</v>
      </c>
      <c r="I19" s="105" t="s">
        <v>11</v>
      </c>
      <c r="J19" s="107">
        <v>3886461</v>
      </c>
      <c r="K19" s="414">
        <v>0</v>
      </c>
      <c r="L19" s="414">
        <f>J19+K19</f>
        <v>3886461</v>
      </c>
      <c r="M19" s="103" t="s">
        <v>266</v>
      </c>
      <c r="N19" s="103" t="s">
        <v>268</v>
      </c>
      <c r="O19" s="103" t="s">
        <v>267</v>
      </c>
      <c r="P19" s="103" t="s">
        <v>607</v>
      </c>
      <c r="Q19" s="103" t="s">
        <v>827</v>
      </c>
    </row>
    <row r="20" spans="1:17" ht="69" customHeight="1" thickTop="1" thickBot="1" x14ac:dyDescent="0.35">
      <c r="A20" s="385">
        <v>12</v>
      </c>
      <c r="B20" s="110" t="s">
        <v>10</v>
      </c>
      <c r="C20" s="103" t="s">
        <v>714</v>
      </c>
      <c r="D20" s="103" t="s">
        <v>670</v>
      </c>
      <c r="E20" s="110" t="s">
        <v>666</v>
      </c>
      <c r="F20" s="384">
        <v>43647</v>
      </c>
      <c r="G20" s="384">
        <v>44012</v>
      </c>
      <c r="H20" s="103" t="s">
        <v>37</v>
      </c>
      <c r="I20" s="105" t="s">
        <v>11</v>
      </c>
      <c r="J20" s="107">
        <v>8218425.1799999997</v>
      </c>
      <c r="K20" s="414">
        <v>1500000</v>
      </c>
      <c r="L20" s="414">
        <f>J20+K20</f>
        <v>9718425.1799999997</v>
      </c>
      <c r="M20" s="103" t="s">
        <v>266</v>
      </c>
      <c r="N20" s="103" t="s">
        <v>268</v>
      </c>
      <c r="O20" s="103" t="s">
        <v>267</v>
      </c>
      <c r="P20" s="108" t="s">
        <v>830</v>
      </c>
      <c r="Q20" s="103" t="s">
        <v>829</v>
      </c>
    </row>
    <row r="21" spans="1:17" ht="56.4" thickTop="1" thickBot="1" x14ac:dyDescent="0.35">
      <c r="A21" s="385">
        <v>14</v>
      </c>
      <c r="B21" s="110" t="s">
        <v>10</v>
      </c>
      <c r="C21" s="103" t="s">
        <v>714</v>
      </c>
      <c r="D21" s="103" t="s">
        <v>671</v>
      </c>
      <c r="E21" s="110" t="s">
        <v>665</v>
      </c>
      <c r="F21" s="384">
        <v>43647</v>
      </c>
      <c r="G21" s="384">
        <v>44012</v>
      </c>
      <c r="H21" s="103" t="s">
        <v>37</v>
      </c>
      <c r="I21" s="105" t="s">
        <v>11</v>
      </c>
      <c r="J21" s="107">
        <v>5000000</v>
      </c>
      <c r="K21" s="414">
        <v>2433333.33</v>
      </c>
      <c r="L21" s="414">
        <f>J21+K21</f>
        <v>7433333.3300000001</v>
      </c>
      <c r="M21" s="103" t="s">
        <v>266</v>
      </c>
      <c r="N21" s="103" t="s">
        <v>268</v>
      </c>
      <c r="O21" s="103" t="s">
        <v>267</v>
      </c>
      <c r="P21" s="108" t="s">
        <v>831</v>
      </c>
      <c r="Q21" s="103" t="s">
        <v>829</v>
      </c>
    </row>
    <row r="22" spans="1:17" ht="52.5" customHeight="1" thickTop="1" thickBot="1" x14ac:dyDescent="0.35">
      <c r="A22" s="383" t="s">
        <v>654</v>
      </c>
      <c r="B22" s="110" t="s">
        <v>10</v>
      </c>
      <c r="C22" s="386" t="s">
        <v>285</v>
      </c>
      <c r="D22" s="103" t="s">
        <v>785</v>
      </c>
      <c r="E22" s="110" t="s">
        <v>609</v>
      </c>
      <c r="F22" s="384">
        <v>43647</v>
      </c>
      <c r="G22" s="384">
        <v>44012</v>
      </c>
      <c r="H22" s="103" t="s">
        <v>38</v>
      </c>
      <c r="I22" s="105" t="s">
        <v>11</v>
      </c>
      <c r="J22" s="106">
        <v>200000</v>
      </c>
      <c r="K22" s="415">
        <v>200000</v>
      </c>
      <c r="L22" s="414">
        <f t="shared" si="0"/>
        <v>0</v>
      </c>
      <c r="M22" s="103" t="s">
        <v>43</v>
      </c>
      <c r="N22" s="103" t="s">
        <v>491</v>
      </c>
      <c r="O22" s="103" t="s">
        <v>305</v>
      </c>
      <c r="P22" s="110" t="s">
        <v>610</v>
      </c>
      <c r="Q22" s="103" t="s">
        <v>502</v>
      </c>
    </row>
    <row r="23" spans="1:17" ht="70.2" thickTop="1" thickBot="1" x14ac:dyDescent="0.35">
      <c r="A23" s="383" t="s">
        <v>29</v>
      </c>
      <c r="B23" s="110" t="s">
        <v>10</v>
      </c>
      <c r="C23" s="386" t="s">
        <v>285</v>
      </c>
      <c r="D23" s="103" t="s">
        <v>611</v>
      </c>
      <c r="E23" s="103" t="s">
        <v>612</v>
      </c>
      <c r="F23" s="384">
        <v>43647</v>
      </c>
      <c r="G23" s="384">
        <v>44012</v>
      </c>
      <c r="H23" s="103" t="s">
        <v>38</v>
      </c>
      <c r="I23" s="105" t="s">
        <v>11</v>
      </c>
      <c r="J23" s="107">
        <v>350000</v>
      </c>
      <c r="K23" s="414">
        <v>350000</v>
      </c>
      <c r="L23" s="414">
        <f t="shared" si="0"/>
        <v>0</v>
      </c>
      <c r="M23" s="103" t="s">
        <v>43</v>
      </c>
      <c r="N23" s="103" t="s">
        <v>44</v>
      </c>
      <c r="O23" s="103" t="s">
        <v>47</v>
      </c>
      <c r="P23" s="103" t="s">
        <v>613</v>
      </c>
      <c r="Q23" s="103" t="s">
        <v>614</v>
      </c>
    </row>
    <row r="24" spans="1:17" ht="56.4" thickTop="1" thickBot="1" x14ac:dyDescent="0.35">
      <c r="A24" s="383" t="s">
        <v>652</v>
      </c>
      <c r="B24" s="386" t="s">
        <v>10</v>
      </c>
      <c r="C24" s="386" t="s">
        <v>285</v>
      </c>
      <c r="D24" s="103" t="s">
        <v>787</v>
      </c>
      <c r="E24" s="103" t="s">
        <v>615</v>
      </c>
      <c r="F24" s="384">
        <v>43647</v>
      </c>
      <c r="G24" s="384">
        <v>44012</v>
      </c>
      <c r="H24" s="103" t="s">
        <v>38</v>
      </c>
      <c r="I24" s="105" t="s">
        <v>11</v>
      </c>
      <c r="J24" s="106">
        <v>150000</v>
      </c>
      <c r="K24" s="415">
        <v>150000</v>
      </c>
      <c r="L24" s="414">
        <f t="shared" si="0"/>
        <v>0</v>
      </c>
      <c r="M24" s="103" t="s">
        <v>306</v>
      </c>
      <c r="N24" s="103" t="s">
        <v>304</v>
      </c>
      <c r="O24" s="103" t="s">
        <v>305</v>
      </c>
      <c r="P24" s="103" t="s">
        <v>616</v>
      </c>
      <c r="Q24" s="103" t="s">
        <v>500</v>
      </c>
    </row>
    <row r="25" spans="1:17" ht="97.8" thickTop="1" thickBot="1" x14ac:dyDescent="0.35">
      <c r="A25" s="385" t="s">
        <v>653</v>
      </c>
      <c r="B25" s="110" t="s">
        <v>10</v>
      </c>
      <c r="C25" s="386" t="s">
        <v>285</v>
      </c>
      <c r="D25" s="103" t="s">
        <v>617</v>
      </c>
      <c r="E25" s="103" t="s">
        <v>619</v>
      </c>
      <c r="F25" s="384">
        <v>43647</v>
      </c>
      <c r="G25" s="384">
        <v>44012</v>
      </c>
      <c r="H25" s="103" t="s">
        <v>38</v>
      </c>
      <c r="I25" s="105" t="s">
        <v>11</v>
      </c>
      <c r="J25" s="107">
        <v>180000</v>
      </c>
      <c r="K25" s="414">
        <v>180000</v>
      </c>
      <c r="L25" s="414">
        <f t="shared" si="0"/>
        <v>0</v>
      </c>
      <c r="M25" s="103" t="s">
        <v>306</v>
      </c>
      <c r="N25" s="103" t="s">
        <v>304</v>
      </c>
      <c r="O25" s="103" t="s">
        <v>305</v>
      </c>
      <c r="P25" s="103" t="s">
        <v>618</v>
      </c>
      <c r="Q25" s="103" t="s">
        <v>495</v>
      </c>
    </row>
    <row r="26" spans="1:17" ht="42.6" thickTop="1" thickBot="1" x14ac:dyDescent="0.35">
      <c r="A26" s="383" t="s">
        <v>29</v>
      </c>
      <c r="B26" s="110" t="s">
        <v>10</v>
      </c>
      <c r="C26" s="386" t="s">
        <v>285</v>
      </c>
      <c r="D26" s="103" t="s">
        <v>620</v>
      </c>
      <c r="E26" s="103" t="s">
        <v>621</v>
      </c>
      <c r="F26" s="384">
        <v>43647</v>
      </c>
      <c r="G26" s="384">
        <v>44012</v>
      </c>
      <c r="H26" s="103" t="s">
        <v>38</v>
      </c>
      <c r="I26" s="105" t="s">
        <v>11</v>
      </c>
      <c r="J26" s="106">
        <v>400000</v>
      </c>
      <c r="K26" s="415">
        <v>400000</v>
      </c>
      <c r="L26" s="414">
        <f t="shared" si="0"/>
        <v>0</v>
      </c>
      <c r="M26" s="103" t="s">
        <v>266</v>
      </c>
      <c r="N26" s="103" t="s">
        <v>491</v>
      </c>
      <c r="O26" s="103" t="s">
        <v>267</v>
      </c>
      <c r="P26" s="103" t="s">
        <v>622</v>
      </c>
      <c r="Q26" s="103" t="s">
        <v>501</v>
      </c>
    </row>
    <row r="27" spans="1:17" ht="42.6" thickTop="1" thickBot="1" x14ac:dyDescent="0.35">
      <c r="A27" s="383" t="s">
        <v>19</v>
      </c>
      <c r="B27" s="110" t="s">
        <v>10</v>
      </c>
      <c r="C27" s="386" t="s">
        <v>285</v>
      </c>
      <c r="D27" s="103" t="s">
        <v>628</v>
      </c>
      <c r="E27" s="103" t="s">
        <v>624</v>
      </c>
      <c r="F27" s="384">
        <v>43647</v>
      </c>
      <c r="G27" s="384">
        <v>44012</v>
      </c>
      <c r="H27" s="103" t="s">
        <v>38</v>
      </c>
      <c r="I27" s="105" t="s">
        <v>11</v>
      </c>
      <c r="J27" s="106">
        <v>10000</v>
      </c>
      <c r="K27" s="415">
        <v>10000</v>
      </c>
      <c r="L27" s="414">
        <f t="shared" si="0"/>
        <v>0</v>
      </c>
      <c r="M27" s="103" t="s">
        <v>266</v>
      </c>
      <c r="N27" s="103" t="s">
        <v>491</v>
      </c>
      <c r="O27" s="103" t="s">
        <v>496</v>
      </c>
      <c r="P27" s="103" t="s">
        <v>623</v>
      </c>
      <c r="Q27" s="103" t="s">
        <v>501</v>
      </c>
    </row>
    <row r="28" spans="1:17" ht="42.6" thickTop="1" thickBot="1" x14ac:dyDescent="0.35">
      <c r="A28" s="383" t="s">
        <v>19</v>
      </c>
      <c r="B28" s="110" t="s">
        <v>10</v>
      </c>
      <c r="C28" s="386" t="s">
        <v>285</v>
      </c>
      <c r="D28" s="103" t="s">
        <v>627</v>
      </c>
      <c r="E28" s="103" t="s">
        <v>625</v>
      </c>
      <c r="F28" s="384">
        <v>43647</v>
      </c>
      <c r="G28" s="384">
        <v>44012</v>
      </c>
      <c r="H28" s="103" t="s">
        <v>37</v>
      </c>
      <c r="I28" s="105" t="s">
        <v>11</v>
      </c>
      <c r="J28" s="106">
        <v>50000</v>
      </c>
      <c r="K28" s="415">
        <v>50000</v>
      </c>
      <c r="L28" s="414">
        <f t="shared" si="0"/>
        <v>0</v>
      </c>
      <c r="M28" s="103" t="s">
        <v>266</v>
      </c>
      <c r="N28" s="103" t="s">
        <v>491</v>
      </c>
      <c r="O28" s="103" t="s">
        <v>496</v>
      </c>
      <c r="P28" s="103" t="s">
        <v>626</v>
      </c>
      <c r="Q28" s="103" t="s">
        <v>501</v>
      </c>
    </row>
    <row r="29" spans="1:17" ht="42.6" thickTop="1" thickBot="1" x14ac:dyDescent="0.35">
      <c r="A29" s="383" t="s">
        <v>19</v>
      </c>
      <c r="B29" s="386" t="s">
        <v>10</v>
      </c>
      <c r="C29" s="386" t="s">
        <v>21</v>
      </c>
      <c r="D29" s="103" t="s">
        <v>776</v>
      </c>
      <c r="E29" s="103" t="s">
        <v>777</v>
      </c>
      <c r="F29" s="384">
        <v>43647</v>
      </c>
      <c r="G29" s="384">
        <v>44012</v>
      </c>
      <c r="H29" s="103" t="s">
        <v>37</v>
      </c>
      <c r="I29" s="105" t="s">
        <v>11</v>
      </c>
      <c r="J29" s="106">
        <v>2000000</v>
      </c>
      <c r="K29" s="415">
        <v>0</v>
      </c>
      <c r="L29" s="414">
        <f t="shared" si="0"/>
        <v>2000000</v>
      </c>
      <c r="M29" s="103" t="s">
        <v>266</v>
      </c>
      <c r="N29" s="103" t="s">
        <v>491</v>
      </c>
      <c r="O29" s="103" t="s">
        <v>496</v>
      </c>
      <c r="P29" s="103" t="s">
        <v>778</v>
      </c>
      <c r="Q29" s="103" t="s">
        <v>827</v>
      </c>
    </row>
    <row r="30" spans="1:17" ht="54" thickTop="1" thickBot="1" x14ac:dyDescent="0.35">
      <c r="A30" s="383">
        <v>4</v>
      </c>
      <c r="B30" s="386" t="s">
        <v>10</v>
      </c>
      <c r="C30" s="386" t="s">
        <v>21</v>
      </c>
      <c r="D30" s="103" t="s">
        <v>629</v>
      </c>
      <c r="E30" s="110" t="s">
        <v>630</v>
      </c>
      <c r="F30" s="384">
        <v>43647</v>
      </c>
      <c r="G30" s="384">
        <v>44012</v>
      </c>
      <c r="H30" s="103" t="s">
        <v>37</v>
      </c>
      <c r="I30" s="105" t="s">
        <v>11</v>
      </c>
      <c r="J30" s="106">
        <v>350000</v>
      </c>
      <c r="K30" s="415">
        <v>0</v>
      </c>
      <c r="L30" s="414">
        <f t="shared" si="0"/>
        <v>350000</v>
      </c>
      <c r="M30" s="103" t="s">
        <v>266</v>
      </c>
      <c r="N30" s="103" t="s">
        <v>491</v>
      </c>
      <c r="O30" s="103" t="s">
        <v>496</v>
      </c>
      <c r="P30" s="110" t="s">
        <v>631</v>
      </c>
      <c r="Q30" s="103" t="s">
        <v>834</v>
      </c>
    </row>
    <row r="31" spans="1:17" ht="84" thickTop="1" thickBot="1" x14ac:dyDescent="0.35">
      <c r="A31" s="383">
        <v>29</v>
      </c>
      <c r="B31" s="386" t="s">
        <v>10</v>
      </c>
      <c r="C31" s="386" t="s">
        <v>21</v>
      </c>
      <c r="D31" s="103" t="s">
        <v>632</v>
      </c>
      <c r="E31" s="103" t="s">
        <v>633</v>
      </c>
      <c r="F31" s="384">
        <v>43647</v>
      </c>
      <c r="G31" s="384">
        <v>44012</v>
      </c>
      <c r="H31" s="103" t="s">
        <v>37</v>
      </c>
      <c r="I31" s="105" t="s">
        <v>11</v>
      </c>
      <c r="J31" s="106">
        <v>650000</v>
      </c>
      <c r="K31" s="415">
        <v>0</v>
      </c>
      <c r="L31" s="414">
        <f t="shared" si="0"/>
        <v>650000</v>
      </c>
      <c r="M31" s="103" t="s">
        <v>266</v>
      </c>
      <c r="N31" s="103" t="s">
        <v>491</v>
      </c>
      <c r="O31" s="103" t="s">
        <v>496</v>
      </c>
      <c r="P31" s="103" t="s">
        <v>634</v>
      </c>
      <c r="Q31" s="103" t="s">
        <v>834</v>
      </c>
    </row>
    <row r="32" spans="1:17" ht="42.6" thickTop="1" thickBot="1" x14ac:dyDescent="0.35">
      <c r="A32" s="383" t="s">
        <v>19</v>
      </c>
      <c r="B32" s="386" t="s">
        <v>10</v>
      </c>
      <c r="C32" s="386" t="s">
        <v>21</v>
      </c>
      <c r="D32" s="103" t="s">
        <v>635</v>
      </c>
      <c r="E32" s="103" t="s">
        <v>641</v>
      </c>
      <c r="F32" s="384">
        <v>43647</v>
      </c>
      <c r="G32" s="384">
        <v>44012</v>
      </c>
      <c r="H32" s="103" t="s">
        <v>37</v>
      </c>
      <c r="I32" s="105" t="s">
        <v>11</v>
      </c>
      <c r="J32" s="106">
        <v>276000</v>
      </c>
      <c r="K32" s="415">
        <v>276000</v>
      </c>
      <c r="L32" s="414">
        <f t="shared" si="0"/>
        <v>0</v>
      </c>
      <c r="M32" s="103" t="s">
        <v>266</v>
      </c>
      <c r="N32" s="103" t="s">
        <v>491</v>
      </c>
      <c r="O32" s="103" t="s">
        <v>496</v>
      </c>
      <c r="P32" s="103" t="s">
        <v>636</v>
      </c>
      <c r="Q32" s="103" t="s">
        <v>501</v>
      </c>
    </row>
    <row r="33" spans="1:17" ht="42.6" thickTop="1" thickBot="1" x14ac:dyDescent="0.35">
      <c r="A33" s="383" t="s">
        <v>19</v>
      </c>
      <c r="B33" s="386" t="s">
        <v>10</v>
      </c>
      <c r="C33" s="386" t="s">
        <v>21</v>
      </c>
      <c r="D33" s="103" t="s">
        <v>638</v>
      </c>
      <c r="E33" s="103" t="s">
        <v>640</v>
      </c>
      <c r="F33" s="384">
        <v>43647</v>
      </c>
      <c r="G33" s="384">
        <v>44012</v>
      </c>
      <c r="H33" s="103" t="s">
        <v>37</v>
      </c>
      <c r="I33" s="105" t="s">
        <v>11</v>
      </c>
      <c r="J33" s="106">
        <v>134387</v>
      </c>
      <c r="K33" s="415">
        <v>0</v>
      </c>
      <c r="L33" s="414">
        <f t="shared" si="0"/>
        <v>134387</v>
      </c>
      <c r="M33" s="103" t="s">
        <v>266</v>
      </c>
      <c r="N33" s="103" t="s">
        <v>491</v>
      </c>
      <c r="O33" s="103" t="s">
        <v>496</v>
      </c>
      <c r="P33" s="103" t="s">
        <v>637</v>
      </c>
      <c r="Q33" s="103" t="s">
        <v>501</v>
      </c>
    </row>
    <row r="34" spans="1:17" ht="42.6" thickTop="1" thickBot="1" x14ac:dyDescent="0.35">
      <c r="A34" s="383" t="s">
        <v>19</v>
      </c>
      <c r="B34" s="386" t="s">
        <v>10</v>
      </c>
      <c r="C34" s="386" t="s">
        <v>21</v>
      </c>
      <c r="D34" s="103" t="s">
        <v>643</v>
      </c>
      <c r="E34" s="103" t="s">
        <v>642</v>
      </c>
      <c r="F34" s="384">
        <v>43647</v>
      </c>
      <c r="G34" s="384">
        <v>44012</v>
      </c>
      <c r="H34" s="103" t="s">
        <v>37</v>
      </c>
      <c r="I34" s="105" t="s">
        <v>11</v>
      </c>
      <c r="J34" s="106">
        <v>50000</v>
      </c>
      <c r="K34" s="415">
        <v>0</v>
      </c>
      <c r="L34" s="414">
        <f t="shared" si="0"/>
        <v>50000</v>
      </c>
      <c r="M34" s="103" t="s">
        <v>266</v>
      </c>
      <c r="N34" s="103" t="s">
        <v>491</v>
      </c>
      <c r="O34" s="103" t="s">
        <v>496</v>
      </c>
      <c r="P34" s="103" t="s">
        <v>639</v>
      </c>
      <c r="Q34" s="103" t="s">
        <v>501</v>
      </c>
    </row>
    <row r="35" spans="1:17" ht="84" thickTop="1" thickBot="1" x14ac:dyDescent="0.35">
      <c r="A35" s="385">
        <v>29</v>
      </c>
      <c r="B35" s="386" t="s">
        <v>10</v>
      </c>
      <c r="C35" s="103" t="s">
        <v>21</v>
      </c>
      <c r="D35" s="103" t="s">
        <v>644</v>
      </c>
      <c r="E35" s="103" t="s">
        <v>645</v>
      </c>
      <c r="F35" s="384">
        <v>43647</v>
      </c>
      <c r="G35" s="384">
        <v>44012</v>
      </c>
      <c r="H35" s="103" t="s">
        <v>37</v>
      </c>
      <c r="I35" s="105" t="s">
        <v>11</v>
      </c>
      <c r="J35" s="107">
        <v>200000</v>
      </c>
      <c r="K35" s="414">
        <v>0</v>
      </c>
      <c r="L35" s="414">
        <f t="shared" ref="L35:L46" si="2">J35-K35</f>
        <v>200000</v>
      </c>
      <c r="M35" s="103" t="s">
        <v>43</v>
      </c>
      <c r="N35" s="103" t="s">
        <v>491</v>
      </c>
      <c r="O35" s="103" t="s">
        <v>499</v>
      </c>
      <c r="P35" s="103" t="s">
        <v>646</v>
      </c>
      <c r="Q35" s="103" t="s">
        <v>492</v>
      </c>
    </row>
    <row r="36" spans="1:17" ht="56.4" thickTop="1" thickBot="1" x14ac:dyDescent="0.35">
      <c r="A36" s="429"/>
      <c r="B36" s="386" t="s">
        <v>10</v>
      </c>
      <c r="C36" s="103" t="s">
        <v>21</v>
      </c>
      <c r="D36" s="430" t="s">
        <v>857</v>
      </c>
      <c r="E36" s="430" t="s">
        <v>858</v>
      </c>
      <c r="F36" s="384">
        <v>43647</v>
      </c>
      <c r="G36" s="384">
        <v>44012</v>
      </c>
      <c r="H36" s="103" t="s">
        <v>37</v>
      </c>
      <c r="I36" s="105" t="s">
        <v>11</v>
      </c>
      <c r="J36" s="414">
        <v>1346048</v>
      </c>
      <c r="K36" s="414">
        <v>0</v>
      </c>
      <c r="L36" s="414">
        <f t="shared" si="2"/>
        <v>1346048</v>
      </c>
      <c r="M36" s="103" t="s">
        <v>12</v>
      </c>
      <c r="N36" s="103" t="s">
        <v>12</v>
      </c>
      <c r="O36" s="103" t="s">
        <v>12</v>
      </c>
      <c r="P36" s="103" t="s">
        <v>43</v>
      </c>
      <c r="Q36" s="103" t="s">
        <v>864</v>
      </c>
    </row>
    <row r="37" spans="1:17" ht="56.4" thickTop="1" thickBot="1" x14ac:dyDescent="0.35">
      <c r="A37" s="385">
        <v>29</v>
      </c>
      <c r="B37" s="386" t="s">
        <v>10</v>
      </c>
      <c r="C37" s="103" t="s">
        <v>21</v>
      </c>
      <c r="D37" s="103" t="s">
        <v>647</v>
      </c>
      <c r="E37" s="103" t="s">
        <v>648</v>
      </c>
      <c r="F37" s="384">
        <v>43647</v>
      </c>
      <c r="G37" s="384">
        <v>44012</v>
      </c>
      <c r="H37" s="103" t="s">
        <v>37</v>
      </c>
      <c r="I37" s="105" t="s">
        <v>11</v>
      </c>
      <c r="J37" s="107">
        <v>2800000</v>
      </c>
      <c r="K37" s="414">
        <v>0</v>
      </c>
      <c r="L37" s="414">
        <f t="shared" si="2"/>
        <v>2800000</v>
      </c>
      <c r="M37" s="103" t="s">
        <v>43</v>
      </c>
      <c r="N37" s="103" t="s">
        <v>491</v>
      </c>
      <c r="O37" s="103" t="s">
        <v>835</v>
      </c>
      <c r="P37" s="103" t="s">
        <v>649</v>
      </c>
      <c r="Q37" s="103" t="s">
        <v>827</v>
      </c>
    </row>
    <row r="38" spans="1:17" ht="56.4" thickTop="1" thickBot="1" x14ac:dyDescent="0.35">
      <c r="A38" s="385">
        <v>30</v>
      </c>
      <c r="B38" s="386" t="s">
        <v>10</v>
      </c>
      <c r="C38" s="103" t="s">
        <v>21</v>
      </c>
      <c r="D38" s="103" t="s">
        <v>815</v>
      </c>
      <c r="E38" s="103" t="s">
        <v>816</v>
      </c>
      <c r="F38" s="384">
        <v>43647</v>
      </c>
      <c r="G38" s="384">
        <v>44012</v>
      </c>
      <c r="H38" s="103" t="s">
        <v>37</v>
      </c>
      <c r="I38" s="105" t="s">
        <v>11</v>
      </c>
      <c r="J38" s="107">
        <v>1400000</v>
      </c>
      <c r="K38" s="414">
        <v>0</v>
      </c>
      <c r="L38" s="414">
        <f t="shared" ref="L38:L40" si="3">J38-K38</f>
        <v>1400000</v>
      </c>
      <c r="M38" s="103" t="s">
        <v>835</v>
      </c>
      <c r="N38" s="108" t="s">
        <v>830</v>
      </c>
      <c r="O38" s="103" t="s">
        <v>649</v>
      </c>
      <c r="P38" s="103" t="s">
        <v>12</v>
      </c>
      <c r="Q38" s="103" t="s">
        <v>827</v>
      </c>
    </row>
    <row r="39" spans="1:17" ht="42.6" thickTop="1" thickBot="1" x14ac:dyDescent="0.35">
      <c r="A39" s="429"/>
      <c r="B39" s="386" t="s">
        <v>10</v>
      </c>
      <c r="C39" s="103" t="s">
        <v>21</v>
      </c>
      <c r="D39" s="430" t="s">
        <v>859</v>
      </c>
      <c r="E39" s="430" t="s">
        <v>861</v>
      </c>
      <c r="F39" s="384">
        <v>43647</v>
      </c>
      <c r="G39" s="384">
        <v>44012</v>
      </c>
      <c r="H39" s="103" t="s">
        <v>37</v>
      </c>
      <c r="I39" s="105" t="s">
        <v>11</v>
      </c>
      <c r="J39" s="107">
        <v>750000</v>
      </c>
      <c r="K39" s="414">
        <v>0</v>
      </c>
      <c r="L39" s="414">
        <f t="shared" si="3"/>
        <v>750000</v>
      </c>
      <c r="M39" s="103" t="s">
        <v>266</v>
      </c>
      <c r="N39" s="103" t="s">
        <v>491</v>
      </c>
      <c r="O39" s="103" t="s">
        <v>496</v>
      </c>
      <c r="P39" s="103" t="s">
        <v>865</v>
      </c>
      <c r="Q39" s="103" t="s">
        <v>501</v>
      </c>
    </row>
    <row r="40" spans="1:17" ht="42.6" thickTop="1" thickBot="1" x14ac:dyDescent="0.35">
      <c r="A40" s="429"/>
      <c r="B40" s="386" t="s">
        <v>10</v>
      </c>
      <c r="C40" s="103" t="s">
        <v>21</v>
      </c>
      <c r="D40" s="430" t="s">
        <v>860</v>
      </c>
      <c r="E40" s="430" t="s">
        <v>862</v>
      </c>
      <c r="F40" s="384">
        <v>43647</v>
      </c>
      <c r="G40" s="384">
        <v>44012</v>
      </c>
      <c r="H40" s="103" t="s">
        <v>37</v>
      </c>
      <c r="I40" s="105" t="s">
        <v>11</v>
      </c>
      <c r="J40" s="414">
        <v>120256</v>
      </c>
      <c r="K40" s="414">
        <v>0</v>
      </c>
      <c r="L40" s="414">
        <f t="shared" si="3"/>
        <v>120256</v>
      </c>
      <c r="M40" s="103" t="s">
        <v>266</v>
      </c>
      <c r="N40" s="103" t="s">
        <v>491</v>
      </c>
      <c r="O40" s="103" t="s">
        <v>496</v>
      </c>
      <c r="P40" s="103" t="s">
        <v>866</v>
      </c>
      <c r="Q40" s="103" t="s">
        <v>501</v>
      </c>
    </row>
    <row r="41" spans="1:17" ht="56.4" thickTop="1" thickBot="1" x14ac:dyDescent="0.35">
      <c r="A41" s="385" t="s">
        <v>655</v>
      </c>
      <c r="B41" s="386" t="s">
        <v>10</v>
      </c>
      <c r="C41" s="103" t="s">
        <v>13</v>
      </c>
      <c r="D41" s="103" t="s">
        <v>725</v>
      </c>
      <c r="E41" s="110" t="s">
        <v>716</v>
      </c>
      <c r="F41" s="384">
        <v>43647</v>
      </c>
      <c r="G41" s="384">
        <v>44012</v>
      </c>
      <c r="H41" s="103" t="s">
        <v>37</v>
      </c>
      <c r="I41" s="105" t="s">
        <v>287</v>
      </c>
      <c r="J41" s="111">
        <v>8733189</v>
      </c>
      <c r="K41" s="416">
        <v>-6876633.4000000004</v>
      </c>
      <c r="L41" s="414">
        <f>J41+K41</f>
        <v>1856555.5999999996</v>
      </c>
      <c r="M41" s="108" t="s">
        <v>842</v>
      </c>
      <c r="N41" s="108" t="s">
        <v>839</v>
      </c>
      <c r="O41" s="431" t="s">
        <v>837</v>
      </c>
      <c r="P41" s="108" t="s">
        <v>836</v>
      </c>
      <c r="Q41" s="103" t="s">
        <v>841</v>
      </c>
    </row>
    <row r="42" spans="1:17" ht="56.4" thickTop="1" thickBot="1" x14ac:dyDescent="0.35">
      <c r="A42" s="385">
        <v>12</v>
      </c>
      <c r="B42" s="386" t="s">
        <v>10</v>
      </c>
      <c r="C42" s="103" t="s">
        <v>13</v>
      </c>
      <c r="D42" s="103" t="s">
        <v>726</v>
      </c>
      <c r="E42" s="110" t="s">
        <v>853</v>
      </c>
      <c r="F42" s="384">
        <v>43647</v>
      </c>
      <c r="G42" s="384">
        <v>44012</v>
      </c>
      <c r="H42" s="103" t="s">
        <v>37</v>
      </c>
      <c r="I42" s="105" t="s">
        <v>23</v>
      </c>
      <c r="J42" s="107">
        <v>10000000</v>
      </c>
      <c r="K42" s="414">
        <v>-2269615.31</v>
      </c>
      <c r="L42" s="414">
        <f t="shared" si="2"/>
        <v>12269615.310000001</v>
      </c>
      <c r="M42" s="108" t="s">
        <v>838</v>
      </c>
      <c r="N42" s="108" t="s">
        <v>839</v>
      </c>
      <c r="O42" s="431" t="s">
        <v>837</v>
      </c>
      <c r="P42" s="108" t="s">
        <v>843</v>
      </c>
      <c r="Q42" s="103" t="s">
        <v>840</v>
      </c>
    </row>
    <row r="43" spans="1:17" ht="67.2" thickTop="1" thickBot="1" x14ac:dyDescent="0.35">
      <c r="A43" s="383" t="s">
        <v>651</v>
      </c>
      <c r="B43" s="386" t="s">
        <v>10</v>
      </c>
      <c r="C43" s="103" t="s">
        <v>13</v>
      </c>
      <c r="D43" s="103" t="s">
        <v>849</v>
      </c>
      <c r="E43" s="110" t="s">
        <v>852</v>
      </c>
      <c r="F43" s="384">
        <v>43647</v>
      </c>
      <c r="G43" s="384">
        <v>44012</v>
      </c>
      <c r="H43" s="103" t="s">
        <v>37</v>
      </c>
      <c r="I43" s="105" t="s">
        <v>11</v>
      </c>
      <c r="J43" s="107">
        <v>9508998</v>
      </c>
      <c r="K43" s="414">
        <v>764825.94</v>
      </c>
      <c r="L43" s="414">
        <f t="shared" si="2"/>
        <v>8744172.0600000005</v>
      </c>
      <c r="M43" s="108" t="s">
        <v>838</v>
      </c>
      <c r="N43" s="108" t="s">
        <v>839</v>
      </c>
      <c r="O43" s="431" t="s">
        <v>837</v>
      </c>
      <c r="P43" s="108" t="s">
        <v>844</v>
      </c>
      <c r="Q43" s="103" t="s">
        <v>840</v>
      </c>
    </row>
    <row r="44" spans="1:17" ht="56.4" thickTop="1" thickBot="1" x14ac:dyDescent="0.35">
      <c r="A44" s="385">
        <v>26</v>
      </c>
      <c r="B44" s="110" t="s">
        <v>10</v>
      </c>
      <c r="C44" s="103" t="s">
        <v>714</v>
      </c>
      <c r="D44" s="103" t="s">
        <v>650</v>
      </c>
      <c r="E44" s="110" t="s">
        <v>717</v>
      </c>
      <c r="F44" s="384">
        <v>43647</v>
      </c>
      <c r="G44" s="384">
        <v>44012</v>
      </c>
      <c r="H44" s="103" t="s">
        <v>37</v>
      </c>
      <c r="I44" s="105" t="s">
        <v>287</v>
      </c>
      <c r="J44" s="107">
        <v>9928314.8599999994</v>
      </c>
      <c r="K44" s="414">
        <v>3800000</v>
      </c>
      <c r="L44" s="414">
        <f>J44+K44</f>
        <v>13728314.859999999</v>
      </c>
      <c r="M44" s="108" t="s">
        <v>838</v>
      </c>
      <c r="N44" s="108" t="s">
        <v>839</v>
      </c>
      <c r="O44" s="431" t="s">
        <v>837</v>
      </c>
      <c r="P44" s="108" t="s">
        <v>845</v>
      </c>
      <c r="Q44" s="103" t="s">
        <v>840</v>
      </c>
    </row>
    <row r="45" spans="1:17" ht="56.4" thickTop="1" thickBot="1" x14ac:dyDescent="0.35">
      <c r="A45" s="383">
        <v>4</v>
      </c>
      <c r="B45" s="386" t="s">
        <v>10</v>
      </c>
      <c r="C45" s="386" t="s">
        <v>715</v>
      </c>
      <c r="D45" s="103" t="s">
        <v>604</v>
      </c>
      <c r="E45" s="110" t="s">
        <v>847</v>
      </c>
      <c r="F45" s="384">
        <v>43647</v>
      </c>
      <c r="G45" s="384">
        <v>44012</v>
      </c>
      <c r="H45" s="103" t="s">
        <v>37</v>
      </c>
      <c r="I45" s="105" t="s">
        <v>287</v>
      </c>
      <c r="J45" s="106">
        <v>6000000</v>
      </c>
      <c r="K45" s="415">
        <v>-1211874.03</v>
      </c>
      <c r="L45" s="414">
        <f t="shared" si="2"/>
        <v>7211874.0300000003</v>
      </c>
      <c r="M45" s="108" t="s">
        <v>838</v>
      </c>
      <c r="N45" s="108" t="s">
        <v>839</v>
      </c>
      <c r="O45" s="431" t="s">
        <v>837</v>
      </c>
      <c r="P45" s="108" t="s">
        <v>846</v>
      </c>
      <c r="Q45" s="103" t="s">
        <v>840</v>
      </c>
    </row>
    <row r="46" spans="1:17" ht="54" thickTop="1" thickBot="1" x14ac:dyDescent="0.35">
      <c r="A46" s="385">
        <v>10</v>
      </c>
      <c r="B46" s="386" t="s">
        <v>10</v>
      </c>
      <c r="C46" s="103" t="s">
        <v>18</v>
      </c>
      <c r="D46" s="103" t="s">
        <v>788</v>
      </c>
      <c r="E46" s="110" t="s">
        <v>608</v>
      </c>
      <c r="F46" s="384">
        <v>43647</v>
      </c>
      <c r="G46" s="384">
        <v>44012</v>
      </c>
      <c r="H46" s="103" t="s">
        <v>37</v>
      </c>
      <c r="I46" s="105" t="s">
        <v>287</v>
      </c>
      <c r="J46" s="107">
        <v>300000</v>
      </c>
      <c r="K46" s="414">
        <v>300000</v>
      </c>
      <c r="L46" s="414">
        <f t="shared" si="2"/>
        <v>0</v>
      </c>
      <c r="M46" s="103" t="s">
        <v>43</v>
      </c>
      <c r="N46" s="103" t="s">
        <v>497</v>
      </c>
      <c r="O46" s="103" t="s">
        <v>594</v>
      </c>
      <c r="P46" s="103" t="s">
        <v>833</v>
      </c>
      <c r="Q46" s="103" t="s">
        <v>832</v>
      </c>
    </row>
    <row r="47" spans="1:17" ht="67.2" thickTop="1" thickBot="1" x14ac:dyDescent="0.35">
      <c r="A47" s="383">
        <v>1</v>
      </c>
      <c r="B47" s="386" t="s">
        <v>10</v>
      </c>
      <c r="C47" s="386" t="s">
        <v>715</v>
      </c>
      <c r="D47" s="103" t="s">
        <v>850</v>
      </c>
      <c r="E47" s="110" t="s">
        <v>851</v>
      </c>
      <c r="F47" s="384">
        <v>43647</v>
      </c>
      <c r="G47" s="384">
        <v>44012</v>
      </c>
      <c r="H47" s="103" t="s">
        <v>37</v>
      </c>
      <c r="I47" s="105" t="s">
        <v>287</v>
      </c>
      <c r="J47" s="106">
        <v>10257098</v>
      </c>
      <c r="K47" s="415">
        <v>660000</v>
      </c>
      <c r="L47" s="414">
        <f>J47+K47</f>
        <v>10917098</v>
      </c>
      <c r="M47" s="103" t="s">
        <v>606</v>
      </c>
      <c r="N47" s="103" t="s">
        <v>605</v>
      </c>
      <c r="O47" s="103" t="s">
        <v>498</v>
      </c>
      <c r="P47" s="103" t="s">
        <v>848</v>
      </c>
      <c r="Q47" s="103" t="s">
        <v>827</v>
      </c>
    </row>
    <row r="48" spans="1:17" ht="14.4" thickTop="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sheetData>
  <mergeCells count="1">
    <mergeCell ref="A1:Q2"/>
  </mergeCells>
  <phoneticPr fontId="58" type="noConversion"/>
  <pageMargins left="0.70866141732283472" right="0.70866141732283472" top="0.74803149606299213" bottom="0.74803149606299213" header="0.31496062992125984" footer="0.31496062992125984"/>
  <pageSetup paperSize="9" scale="51" fitToHeight="0" orientation="landscape" r:id="rId1"/>
  <headerFooter>
    <oddFooter>&amp;L2018/19 SDBIP&amp;CBASIC SERVICE DELIVERY PROJECTS &amp;RPage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9"/>
  <sheetViews>
    <sheetView view="pageBreakPreview" zoomScale="82" zoomScaleNormal="100" zoomScaleSheetLayoutView="82" workbookViewId="0">
      <selection activeCell="A8" sqref="A8:XFD8"/>
    </sheetView>
  </sheetViews>
  <sheetFormatPr defaultColWidth="8.88671875" defaultRowHeight="10.199999999999999" x14ac:dyDescent="0.3"/>
  <cols>
    <col min="1" max="1" width="5.5546875" style="352" customWidth="1"/>
    <col min="2" max="2" width="13.33203125" style="352" customWidth="1"/>
    <col min="3" max="3" width="14" style="352" customWidth="1"/>
    <col min="4" max="4" width="14.5546875" style="352" customWidth="1"/>
    <col min="5" max="5" width="13.6640625" style="352" customWidth="1"/>
    <col min="6" max="6" width="11.6640625" style="352" customWidth="1"/>
    <col min="7" max="7" width="13.33203125" style="352" customWidth="1"/>
    <col min="8" max="11" width="8.88671875" style="352"/>
    <col min="12" max="12" width="15.44140625" style="352" customWidth="1"/>
    <col min="13" max="13" width="15.109375" style="352" customWidth="1"/>
    <col min="14" max="14" width="24.33203125" style="352" customWidth="1"/>
    <col min="15" max="15" width="13.33203125" style="352" customWidth="1"/>
    <col min="16" max="16" width="18.6640625" style="352" customWidth="1"/>
    <col min="17" max="17" width="15.88671875" style="352" customWidth="1"/>
    <col min="18" max="16384" width="8.88671875" style="352"/>
  </cols>
  <sheetData>
    <row r="1" spans="1:17" ht="10.8" thickTop="1" x14ac:dyDescent="0.3">
      <c r="A1" s="601" t="s">
        <v>542</v>
      </c>
      <c r="B1" s="602"/>
      <c r="C1" s="602"/>
      <c r="D1" s="602"/>
      <c r="E1" s="602"/>
      <c r="F1" s="602"/>
      <c r="G1" s="602"/>
      <c r="H1" s="602"/>
      <c r="I1" s="602"/>
      <c r="J1" s="602"/>
      <c r="K1" s="603"/>
      <c r="L1" s="603"/>
      <c r="M1" s="602"/>
      <c r="N1" s="602"/>
      <c r="O1" s="602"/>
      <c r="P1" s="602"/>
      <c r="Q1" s="604"/>
    </row>
    <row r="2" spans="1:17" ht="10.8" thickBot="1" x14ac:dyDescent="0.35">
      <c r="A2" s="605"/>
      <c r="B2" s="606"/>
      <c r="C2" s="606"/>
      <c r="D2" s="606"/>
      <c r="E2" s="606"/>
      <c r="F2" s="606"/>
      <c r="G2" s="606"/>
      <c r="H2" s="606"/>
      <c r="I2" s="606"/>
      <c r="J2" s="606"/>
      <c r="K2" s="606"/>
      <c r="L2" s="606"/>
      <c r="M2" s="606"/>
      <c r="N2" s="606"/>
      <c r="O2" s="606"/>
      <c r="P2" s="606"/>
      <c r="Q2" s="607"/>
    </row>
    <row r="3" spans="1:17" ht="11.4" thickTop="1" thickBot="1" x14ac:dyDescent="0.35">
      <c r="A3" s="353"/>
      <c r="B3" s="353"/>
      <c r="C3" s="353" t="s">
        <v>52</v>
      </c>
      <c r="D3" s="353"/>
      <c r="E3" s="353"/>
      <c r="F3" s="353"/>
      <c r="G3" s="353"/>
      <c r="H3" s="353"/>
      <c r="I3" s="353"/>
      <c r="J3" s="353"/>
      <c r="K3" s="353"/>
      <c r="L3" s="353"/>
      <c r="M3" s="353"/>
      <c r="N3" s="353"/>
      <c r="O3" s="353"/>
      <c r="P3" s="353"/>
      <c r="Q3" s="354"/>
    </row>
    <row r="4" spans="1:17" ht="21.6" thickTop="1" thickBot="1" x14ac:dyDescent="0.35">
      <c r="A4" s="355" t="s">
        <v>1</v>
      </c>
      <c r="B4" s="329" t="s">
        <v>2</v>
      </c>
      <c r="C4" s="329" t="s">
        <v>3</v>
      </c>
      <c r="D4" s="329" t="s">
        <v>314</v>
      </c>
      <c r="E4" s="329" t="s">
        <v>4</v>
      </c>
      <c r="F4" s="330" t="s">
        <v>5</v>
      </c>
      <c r="G4" s="330" t="s">
        <v>6</v>
      </c>
      <c r="H4" s="330" t="s">
        <v>7</v>
      </c>
      <c r="I4" s="331" t="s">
        <v>8</v>
      </c>
      <c r="J4" s="329" t="s">
        <v>310</v>
      </c>
      <c r="K4" s="406" t="s">
        <v>803</v>
      </c>
      <c r="L4" s="406" t="s">
        <v>804</v>
      </c>
      <c r="M4" s="331" t="s">
        <v>39</v>
      </c>
      <c r="N4" s="331" t="s">
        <v>40</v>
      </c>
      <c r="O4" s="331" t="s">
        <v>41</v>
      </c>
      <c r="P4" s="331" t="s">
        <v>42</v>
      </c>
      <c r="Q4" s="331" t="s">
        <v>9</v>
      </c>
    </row>
    <row r="5" spans="1:17" s="360" customFormat="1" ht="42.6" thickTop="1" thickBot="1" x14ac:dyDescent="0.35">
      <c r="A5" s="357" t="s">
        <v>19</v>
      </c>
      <c r="B5" s="358" t="s">
        <v>292</v>
      </c>
      <c r="C5" s="358" t="s">
        <v>294</v>
      </c>
      <c r="D5" s="358" t="s">
        <v>296</v>
      </c>
      <c r="E5" s="358" t="s">
        <v>288</v>
      </c>
      <c r="F5" s="356">
        <v>43647</v>
      </c>
      <c r="G5" s="356">
        <v>44012</v>
      </c>
      <c r="H5" s="358" t="s">
        <v>283</v>
      </c>
      <c r="I5" s="358" t="s">
        <v>11</v>
      </c>
      <c r="J5" s="359">
        <v>690000</v>
      </c>
      <c r="K5" s="407">
        <v>0</v>
      </c>
      <c r="L5" s="407">
        <f>J5-K5</f>
        <v>690000</v>
      </c>
      <c r="M5" s="358" t="s">
        <v>269</v>
      </c>
      <c r="N5" s="103" t="s">
        <v>784</v>
      </c>
      <c r="O5" s="358" t="s">
        <v>299</v>
      </c>
      <c r="P5" s="358" t="s">
        <v>300</v>
      </c>
      <c r="Q5" s="358" t="s">
        <v>297</v>
      </c>
    </row>
    <row r="6" spans="1:17" ht="42" thickTop="1" thickBot="1" x14ac:dyDescent="0.35">
      <c r="A6" s="357" t="s">
        <v>19</v>
      </c>
      <c r="B6" s="358" t="s">
        <v>293</v>
      </c>
      <c r="C6" s="358" t="s">
        <v>295</v>
      </c>
      <c r="D6" s="358" t="s">
        <v>791</v>
      </c>
      <c r="E6" s="358" t="s">
        <v>789</v>
      </c>
      <c r="F6" s="356">
        <v>43647</v>
      </c>
      <c r="G6" s="356">
        <v>44012</v>
      </c>
      <c r="H6" s="358" t="s">
        <v>283</v>
      </c>
      <c r="I6" s="361" t="s">
        <v>11</v>
      </c>
      <c r="J6" s="362">
        <v>800000</v>
      </c>
      <c r="K6" s="408">
        <v>0</v>
      </c>
      <c r="L6" s="407">
        <f t="shared" ref="L6:L8" si="0">J6-K6</f>
        <v>800000</v>
      </c>
      <c r="M6" s="358" t="s">
        <v>731</v>
      </c>
      <c r="N6" s="358" t="s">
        <v>732</v>
      </c>
      <c r="O6" s="358" t="s">
        <v>733</v>
      </c>
      <c r="P6" s="358" t="s">
        <v>734</v>
      </c>
      <c r="Q6" s="358" t="s">
        <v>298</v>
      </c>
    </row>
    <row r="7" spans="1:17" ht="42" thickTop="1" thickBot="1" x14ac:dyDescent="0.35">
      <c r="A7" s="357" t="s">
        <v>19</v>
      </c>
      <c r="B7" s="358" t="s">
        <v>293</v>
      </c>
      <c r="C7" s="358" t="s">
        <v>295</v>
      </c>
      <c r="D7" s="358" t="s">
        <v>792</v>
      </c>
      <c r="E7" s="358" t="s">
        <v>790</v>
      </c>
      <c r="F7" s="356">
        <v>43647</v>
      </c>
      <c r="G7" s="356">
        <v>44012</v>
      </c>
      <c r="H7" s="358" t="s">
        <v>283</v>
      </c>
      <c r="I7" s="361" t="s">
        <v>11</v>
      </c>
      <c r="J7" s="362">
        <v>2996000</v>
      </c>
      <c r="K7" s="408">
        <v>0</v>
      </c>
      <c r="L7" s="407">
        <f>J7+K7</f>
        <v>2996000</v>
      </c>
      <c r="M7" s="358" t="s">
        <v>731</v>
      </c>
      <c r="N7" s="358" t="s">
        <v>732</v>
      </c>
      <c r="O7" s="358" t="s">
        <v>733</v>
      </c>
      <c r="P7" s="358" t="s">
        <v>734</v>
      </c>
      <c r="Q7" s="358" t="s">
        <v>298</v>
      </c>
    </row>
    <row r="8" spans="1:17" ht="42" thickTop="1" thickBot="1" x14ac:dyDescent="0.35">
      <c r="A8" s="357" t="s">
        <v>19</v>
      </c>
      <c r="B8" s="358" t="s">
        <v>293</v>
      </c>
      <c r="C8" s="358" t="s">
        <v>295</v>
      </c>
      <c r="D8" s="358" t="s">
        <v>308</v>
      </c>
      <c r="E8" s="358" t="s">
        <v>289</v>
      </c>
      <c r="F8" s="356">
        <v>43647</v>
      </c>
      <c r="G8" s="356">
        <v>44012</v>
      </c>
      <c r="H8" s="358" t="s">
        <v>283</v>
      </c>
      <c r="I8" s="361" t="s">
        <v>11</v>
      </c>
      <c r="J8" s="362">
        <v>7950000</v>
      </c>
      <c r="K8" s="408">
        <v>0</v>
      </c>
      <c r="L8" s="407">
        <f t="shared" si="0"/>
        <v>7950000</v>
      </c>
      <c r="M8" s="358" t="s">
        <v>731</v>
      </c>
      <c r="N8" s="358" t="s">
        <v>732</v>
      </c>
      <c r="O8" s="358" t="s">
        <v>733</v>
      </c>
      <c r="P8" s="358" t="s">
        <v>734</v>
      </c>
      <c r="Q8" s="358" t="s">
        <v>298</v>
      </c>
    </row>
    <row r="9" spans="1:17" ht="10.8" thickTop="1" x14ac:dyDescent="0.3"/>
  </sheetData>
  <mergeCells count="1">
    <mergeCell ref="A1:Q2"/>
  </mergeCells>
  <pageMargins left="0.70866141732283472" right="0.70866141732283472" top="0.74803149606299213" bottom="0.74803149606299213" header="0.31496062992125984" footer="0.31496062992125984"/>
  <pageSetup paperSize="9" scale="58" fitToHeight="0" orientation="landscape" r:id="rId1"/>
  <headerFooter>
    <oddFooter>&amp;L 2018/19 SDBIP&amp;CLOCAL ECONOMIC DEVELOPMENT PROJECTS &amp;RPage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8"/>
  <sheetViews>
    <sheetView view="pageBreakPreview" zoomScale="86" zoomScaleNormal="100" zoomScaleSheetLayoutView="86" workbookViewId="0">
      <selection activeCell="AE27" sqref="AE27"/>
    </sheetView>
  </sheetViews>
  <sheetFormatPr defaultColWidth="8.88671875" defaultRowHeight="10.199999999999999" x14ac:dyDescent="0.2"/>
  <cols>
    <col min="1" max="1" width="8.88671875" style="291"/>
    <col min="2" max="2" width="12.88671875" style="291" customWidth="1"/>
    <col min="3" max="3" width="12.44140625" style="291" customWidth="1"/>
    <col min="4" max="4" width="13.33203125" style="291" customWidth="1"/>
    <col min="5" max="5" width="12.6640625" style="291" customWidth="1"/>
    <col min="6" max="6" width="10.33203125" style="291" customWidth="1"/>
    <col min="7" max="7" width="11.33203125" style="291" customWidth="1"/>
    <col min="8" max="8" width="8.88671875" style="291"/>
    <col min="9" max="9" width="8.33203125" style="291" customWidth="1"/>
    <col min="10" max="12" width="9.33203125" style="291" customWidth="1"/>
    <col min="13" max="13" width="11.109375" style="291" customWidth="1"/>
    <col min="14" max="14" width="13.88671875" style="291" customWidth="1"/>
    <col min="15" max="15" width="15" style="291" customWidth="1"/>
    <col min="16" max="16" width="13.5546875" style="291" customWidth="1"/>
    <col min="17" max="17" width="13" style="291" customWidth="1"/>
    <col min="18" max="16384" width="8.88671875" style="291"/>
  </cols>
  <sheetData>
    <row r="1" spans="1:17" ht="10.8" thickTop="1" x14ac:dyDescent="0.2">
      <c r="A1" s="608" t="s">
        <v>542</v>
      </c>
      <c r="B1" s="609"/>
      <c r="C1" s="609"/>
      <c r="D1" s="609"/>
      <c r="E1" s="609"/>
      <c r="F1" s="609"/>
      <c r="G1" s="609"/>
      <c r="H1" s="609"/>
      <c r="I1" s="609"/>
      <c r="J1" s="609"/>
      <c r="K1" s="610"/>
      <c r="L1" s="610"/>
      <c r="M1" s="609"/>
      <c r="N1" s="609"/>
      <c r="O1" s="609"/>
      <c r="P1" s="609"/>
      <c r="Q1" s="611"/>
    </row>
    <row r="2" spans="1:17" ht="10.8" thickBot="1" x14ac:dyDescent="0.25">
      <c r="A2" s="612"/>
      <c r="B2" s="613"/>
      <c r="C2" s="613"/>
      <c r="D2" s="613"/>
      <c r="E2" s="613"/>
      <c r="F2" s="613"/>
      <c r="G2" s="613"/>
      <c r="H2" s="613"/>
      <c r="I2" s="613"/>
      <c r="J2" s="613"/>
      <c r="K2" s="613"/>
      <c r="L2" s="613"/>
      <c r="M2" s="613"/>
      <c r="N2" s="613"/>
      <c r="O2" s="613"/>
      <c r="P2" s="613"/>
      <c r="Q2" s="614"/>
    </row>
    <row r="3" spans="1:17" ht="11.4" thickTop="1" thickBot="1" x14ac:dyDescent="0.25">
      <c r="A3" s="326"/>
      <c r="B3" s="326"/>
      <c r="C3" s="326"/>
      <c r="D3" s="326" t="s">
        <v>506</v>
      </c>
      <c r="E3" s="326"/>
      <c r="F3" s="326"/>
      <c r="G3" s="326"/>
      <c r="H3" s="326"/>
      <c r="I3" s="326"/>
      <c r="J3" s="326"/>
      <c r="K3" s="326"/>
      <c r="L3" s="326"/>
      <c r="M3" s="326"/>
      <c r="N3" s="326"/>
      <c r="O3" s="326"/>
      <c r="P3" s="326"/>
      <c r="Q3" s="327"/>
    </row>
    <row r="4" spans="1:17" s="422" customFormat="1" ht="21.6" thickTop="1" thickBot="1" x14ac:dyDescent="0.25">
      <c r="A4" s="417" t="s">
        <v>505</v>
      </c>
      <c r="B4" s="418" t="s">
        <v>2</v>
      </c>
      <c r="C4" s="418" t="s">
        <v>3</v>
      </c>
      <c r="D4" s="418" t="s">
        <v>314</v>
      </c>
      <c r="E4" s="418" t="s">
        <v>4</v>
      </c>
      <c r="F4" s="419" t="s">
        <v>5</v>
      </c>
      <c r="G4" s="419" t="s">
        <v>6</v>
      </c>
      <c r="H4" s="419" t="s">
        <v>7</v>
      </c>
      <c r="I4" s="420" t="s">
        <v>8</v>
      </c>
      <c r="J4" s="418" t="s">
        <v>309</v>
      </c>
      <c r="K4" s="421" t="s">
        <v>803</v>
      </c>
      <c r="L4" s="421" t="s">
        <v>804</v>
      </c>
      <c r="M4" s="420" t="s">
        <v>39</v>
      </c>
      <c r="N4" s="420" t="s">
        <v>40</v>
      </c>
      <c r="O4" s="420" t="s">
        <v>41</v>
      </c>
      <c r="P4" s="420" t="s">
        <v>42</v>
      </c>
      <c r="Q4" s="420" t="s">
        <v>9</v>
      </c>
    </row>
    <row r="5" spans="1:17" ht="42" thickTop="1" thickBot="1" x14ac:dyDescent="0.25">
      <c r="A5" s="332" t="s">
        <v>25</v>
      </c>
      <c r="B5" s="333" t="s">
        <v>48</v>
      </c>
      <c r="C5" s="332" t="s">
        <v>707</v>
      </c>
      <c r="D5" s="332" t="s">
        <v>559</v>
      </c>
      <c r="E5" s="332" t="s">
        <v>560</v>
      </c>
      <c r="F5" s="335">
        <v>43647</v>
      </c>
      <c r="G5" s="335">
        <v>44012</v>
      </c>
      <c r="H5" s="332" t="s">
        <v>50</v>
      </c>
      <c r="I5" s="332" t="s">
        <v>11</v>
      </c>
      <c r="J5" s="346">
        <v>11600</v>
      </c>
      <c r="K5" s="409">
        <v>0</v>
      </c>
      <c r="L5" s="409">
        <f t="shared" ref="L5:L6" si="0">J5-K5</f>
        <v>11600</v>
      </c>
      <c r="M5" s="332" t="s">
        <v>43</v>
      </c>
      <c r="N5" s="332" t="s">
        <v>708</v>
      </c>
      <c r="O5" s="332" t="s">
        <v>561</v>
      </c>
      <c r="P5" s="332" t="s">
        <v>12</v>
      </c>
      <c r="Q5" s="332" t="s">
        <v>503</v>
      </c>
    </row>
    <row r="6" spans="1:17" ht="52.2" thickTop="1" thickBot="1" x14ac:dyDescent="0.25">
      <c r="A6" s="332" t="s">
        <v>25</v>
      </c>
      <c r="B6" s="333" t="s">
        <v>48</v>
      </c>
      <c r="C6" s="332" t="s">
        <v>707</v>
      </c>
      <c r="D6" s="332" t="s">
        <v>564</v>
      </c>
      <c r="E6" s="332" t="s">
        <v>563</v>
      </c>
      <c r="F6" s="335">
        <v>43647</v>
      </c>
      <c r="G6" s="335">
        <v>44012</v>
      </c>
      <c r="H6" s="332" t="s">
        <v>50</v>
      </c>
      <c r="I6" s="332" t="s">
        <v>11</v>
      </c>
      <c r="J6" s="346">
        <v>150000</v>
      </c>
      <c r="K6" s="409">
        <v>0</v>
      </c>
      <c r="L6" s="409">
        <f t="shared" si="0"/>
        <v>150000</v>
      </c>
      <c r="M6" s="332" t="s">
        <v>43</v>
      </c>
      <c r="N6" s="332" t="s">
        <v>44</v>
      </c>
      <c r="O6" s="332" t="s">
        <v>562</v>
      </c>
      <c r="P6" s="332" t="s">
        <v>12</v>
      </c>
      <c r="Q6" s="332" t="s">
        <v>291</v>
      </c>
    </row>
    <row r="7" spans="1:17" ht="42" thickTop="1" thickBot="1" x14ac:dyDescent="0.25">
      <c r="A7" s="332" t="s">
        <v>25</v>
      </c>
      <c r="B7" s="333" t="s">
        <v>48</v>
      </c>
      <c r="C7" s="332" t="s">
        <v>707</v>
      </c>
      <c r="D7" s="332" t="s">
        <v>565</v>
      </c>
      <c r="E7" s="332" t="s">
        <v>566</v>
      </c>
      <c r="F7" s="335">
        <v>43647</v>
      </c>
      <c r="G7" s="335">
        <v>44012</v>
      </c>
      <c r="H7" s="332" t="s">
        <v>50</v>
      </c>
      <c r="I7" s="332" t="s">
        <v>11</v>
      </c>
      <c r="J7" s="346">
        <v>27600</v>
      </c>
      <c r="K7" s="409">
        <v>0</v>
      </c>
      <c r="L7" s="409">
        <f>J7+K7</f>
        <v>27600</v>
      </c>
      <c r="M7" s="332" t="s">
        <v>43</v>
      </c>
      <c r="N7" s="332" t="s">
        <v>708</v>
      </c>
      <c r="O7" s="332" t="s">
        <v>567</v>
      </c>
      <c r="P7" s="332" t="s">
        <v>12</v>
      </c>
      <c r="Q7" s="332" t="s">
        <v>45</v>
      </c>
    </row>
    <row r="8" spans="1:17" ht="10.8" thickTop="1" x14ac:dyDescent="0.2"/>
  </sheetData>
  <mergeCells count="1">
    <mergeCell ref="A1:Q2"/>
  </mergeCells>
  <pageMargins left="0.70866141732283472" right="0.70866141732283472" top="0.74803149606299213" bottom="0.74803149606299213" header="0.31496062992125984" footer="0.31496062992125984"/>
  <pageSetup paperSize="9" scale="67" fitToHeight="0" orientation="landscape" r:id="rId1"/>
  <headerFooter>
    <oddFooter>&amp;L2018/19  SDBIP&amp;CMUNICIPAL FINANCIAL VIABILITY PROJECTS &amp;RPage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8"/>
  <sheetViews>
    <sheetView view="pageBreakPreview" zoomScale="91" zoomScaleNormal="100" zoomScaleSheetLayoutView="91" workbookViewId="0">
      <selection activeCell="AE27" sqref="AE27"/>
    </sheetView>
  </sheetViews>
  <sheetFormatPr defaultColWidth="8.88671875" defaultRowHeight="10.199999999999999" x14ac:dyDescent="0.2"/>
  <cols>
    <col min="1" max="1" width="7.6640625" style="291" customWidth="1"/>
    <col min="2" max="2" width="12.88671875" style="291" customWidth="1"/>
    <col min="3" max="3" width="10.88671875" style="291" customWidth="1"/>
    <col min="4" max="4" width="13.88671875" style="291" customWidth="1"/>
    <col min="5" max="5" width="12.33203125" style="291" customWidth="1"/>
    <col min="6" max="6" width="11" style="291" customWidth="1"/>
    <col min="7" max="7" width="10.5546875" style="291" customWidth="1"/>
    <col min="8" max="8" width="8.88671875" style="291"/>
    <col min="9" max="9" width="8.88671875" style="291" customWidth="1"/>
    <col min="10" max="12" width="11.33203125" style="291" customWidth="1"/>
    <col min="13" max="13" width="12.109375" style="291" customWidth="1"/>
    <col min="14" max="14" width="13.33203125" style="291" customWidth="1"/>
    <col min="15" max="15" width="11.33203125" style="291" customWidth="1"/>
    <col min="16" max="16" width="11.88671875" style="291" customWidth="1"/>
    <col min="17" max="17" width="10.6640625" style="291" customWidth="1"/>
    <col min="18" max="16384" width="8.88671875" style="291"/>
  </cols>
  <sheetData>
    <row r="1" spans="1:17" ht="10.8" thickTop="1" x14ac:dyDescent="0.2">
      <c r="A1" s="585" t="s">
        <v>541</v>
      </c>
      <c r="B1" s="586"/>
      <c r="C1" s="586"/>
      <c r="D1" s="586"/>
      <c r="E1" s="586"/>
      <c r="F1" s="586"/>
      <c r="G1" s="586"/>
      <c r="H1" s="586"/>
      <c r="I1" s="586"/>
      <c r="J1" s="586"/>
      <c r="K1" s="587"/>
      <c r="L1" s="587"/>
      <c r="M1" s="586"/>
      <c r="N1" s="586"/>
      <c r="O1" s="586"/>
      <c r="P1" s="586"/>
      <c r="Q1" s="588"/>
    </row>
    <row r="2" spans="1:17" ht="10.8" thickBot="1" x14ac:dyDescent="0.25">
      <c r="A2" s="589"/>
      <c r="B2" s="590"/>
      <c r="C2" s="590"/>
      <c r="D2" s="590"/>
      <c r="E2" s="590"/>
      <c r="F2" s="590"/>
      <c r="G2" s="590"/>
      <c r="H2" s="590"/>
      <c r="I2" s="590"/>
      <c r="J2" s="590"/>
      <c r="K2" s="590"/>
      <c r="L2" s="590"/>
      <c r="M2" s="590"/>
      <c r="N2" s="590"/>
      <c r="O2" s="590"/>
      <c r="P2" s="590"/>
      <c r="Q2" s="591"/>
    </row>
    <row r="3" spans="1:17" ht="11.4" thickTop="1" thickBot="1" x14ac:dyDescent="0.25">
      <c r="A3" s="347"/>
      <c r="B3" s="348"/>
      <c r="C3" s="348"/>
      <c r="D3" s="348"/>
      <c r="E3" s="348" t="s">
        <v>53</v>
      </c>
      <c r="F3" s="348"/>
      <c r="G3" s="348"/>
      <c r="H3" s="348"/>
      <c r="I3" s="348"/>
      <c r="J3" s="348"/>
      <c r="K3" s="411"/>
      <c r="L3" s="411"/>
      <c r="M3" s="348"/>
      <c r="N3" s="348"/>
      <c r="O3" s="348"/>
      <c r="P3" s="348"/>
      <c r="Q3" s="349"/>
    </row>
    <row r="4" spans="1:17" s="428" customFormat="1" ht="21.6" thickTop="1" thickBot="1" x14ac:dyDescent="0.25">
      <c r="A4" s="423" t="s">
        <v>342</v>
      </c>
      <c r="B4" s="424" t="s">
        <v>2</v>
      </c>
      <c r="C4" s="424" t="s">
        <v>3</v>
      </c>
      <c r="D4" s="424" t="s">
        <v>314</v>
      </c>
      <c r="E4" s="424" t="s">
        <v>4</v>
      </c>
      <c r="F4" s="425" t="s">
        <v>5</v>
      </c>
      <c r="G4" s="425" t="s">
        <v>6</v>
      </c>
      <c r="H4" s="425" t="s">
        <v>7</v>
      </c>
      <c r="I4" s="426" t="s">
        <v>8</v>
      </c>
      <c r="J4" s="424" t="s">
        <v>310</v>
      </c>
      <c r="K4" s="427" t="s">
        <v>803</v>
      </c>
      <c r="L4" s="427" t="s">
        <v>804</v>
      </c>
      <c r="M4" s="426" t="s">
        <v>39</v>
      </c>
      <c r="N4" s="426" t="s">
        <v>40</v>
      </c>
      <c r="O4" s="426" t="s">
        <v>41</v>
      </c>
      <c r="P4" s="426" t="s">
        <v>42</v>
      </c>
      <c r="Q4" s="426" t="s">
        <v>9</v>
      </c>
    </row>
    <row r="5" spans="1:17" ht="11.4" thickTop="1" thickBot="1" x14ac:dyDescent="0.25"/>
    <row r="6" spans="1:17" ht="42" thickTop="1" thickBot="1" x14ac:dyDescent="0.25">
      <c r="A6" s="336" t="s">
        <v>25</v>
      </c>
      <c r="B6" s="341" t="s">
        <v>48</v>
      </c>
      <c r="C6" s="336" t="s">
        <v>20</v>
      </c>
      <c r="D6" s="336" t="s">
        <v>583</v>
      </c>
      <c r="E6" s="336" t="s">
        <v>772</v>
      </c>
      <c r="F6" s="335">
        <v>43647</v>
      </c>
      <c r="G6" s="335">
        <v>44012</v>
      </c>
      <c r="H6" s="336" t="s">
        <v>49</v>
      </c>
      <c r="I6" s="350" t="s">
        <v>11</v>
      </c>
      <c r="J6" s="351">
        <v>120000</v>
      </c>
      <c r="K6" s="410">
        <v>0</v>
      </c>
      <c r="L6" s="409">
        <f t="shared" ref="L6:L7" si="0">J6-K6</f>
        <v>120000</v>
      </c>
      <c r="M6" s="336" t="s">
        <v>43</v>
      </c>
      <c r="N6" s="336" t="s">
        <v>568</v>
      </c>
      <c r="O6" s="334" t="s">
        <v>267</v>
      </c>
      <c r="P6" s="336" t="s">
        <v>582</v>
      </c>
      <c r="Q6" s="334" t="s">
        <v>503</v>
      </c>
    </row>
    <row r="7" spans="1:17" ht="42" thickTop="1" thickBot="1" x14ac:dyDescent="0.25">
      <c r="A7" s="336" t="s">
        <v>25</v>
      </c>
      <c r="B7" s="341" t="s">
        <v>48</v>
      </c>
      <c r="C7" s="336" t="s">
        <v>20</v>
      </c>
      <c r="D7" s="336" t="s">
        <v>585</v>
      </c>
      <c r="E7" s="336" t="s">
        <v>773</v>
      </c>
      <c r="F7" s="335">
        <v>43647</v>
      </c>
      <c r="G7" s="335">
        <v>44012</v>
      </c>
      <c r="H7" s="336" t="s">
        <v>49</v>
      </c>
      <c r="I7" s="350" t="s">
        <v>11</v>
      </c>
      <c r="J7" s="351">
        <v>4000</v>
      </c>
      <c r="K7" s="410">
        <v>0</v>
      </c>
      <c r="L7" s="409">
        <f t="shared" si="0"/>
        <v>4000</v>
      </c>
      <c r="M7" s="336" t="s">
        <v>43</v>
      </c>
      <c r="N7" s="336" t="s">
        <v>568</v>
      </c>
      <c r="O7" s="334" t="s">
        <v>267</v>
      </c>
      <c r="P7" s="336" t="s">
        <v>584</v>
      </c>
      <c r="Q7" s="334" t="s">
        <v>503</v>
      </c>
    </row>
    <row r="8" spans="1:17" ht="10.8" thickTop="1" x14ac:dyDescent="0.2"/>
  </sheetData>
  <mergeCells count="1">
    <mergeCell ref="A1:Q2"/>
  </mergeCells>
  <pageMargins left="0.70866141732283472" right="0.70866141732283472" top="0.74803149606299213" bottom="0.74803149606299213" header="0.31496062992125984" footer="0.31496062992125984"/>
  <pageSetup paperSize="9" scale="68" fitToHeight="0" orientation="landscape" r:id="rId1"/>
  <headerFooter>
    <oddFooter>&amp;L2018/19 SDBIP&amp;CGOOD GOVERNANCE AND PUBLIC PARTICIPATION PROJECTS &amp;RPage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1DE8-A63C-4245-9973-D0BC70D3742D}">
  <dimension ref="A2:Q67"/>
  <sheetViews>
    <sheetView view="pageBreakPreview" topLeftCell="A16" zoomScale="60" zoomScaleNormal="100" workbookViewId="0">
      <selection activeCell="Q76" sqref="Q76"/>
    </sheetView>
  </sheetViews>
  <sheetFormatPr defaultColWidth="8.88671875" defaultRowHeight="13.8" x14ac:dyDescent="0.3"/>
  <cols>
    <col min="1" max="1" width="7.5546875" style="387" customWidth="1"/>
    <col min="2" max="2" width="13.33203125" style="39" customWidth="1"/>
    <col min="3" max="3" width="11.88671875" style="39" customWidth="1"/>
    <col min="4" max="4" width="36" style="388" customWidth="1"/>
    <col min="5" max="5" width="16.109375" style="112" customWidth="1"/>
    <col min="6" max="6" width="11" style="39" customWidth="1"/>
    <col min="7" max="7" width="12.33203125" style="39" customWidth="1"/>
    <col min="8" max="9" width="8.88671875" style="39"/>
    <col min="10" max="11" width="11.5546875" style="39" customWidth="1"/>
    <col min="12" max="12" width="12.44140625" style="39" bestFit="1" customWidth="1"/>
    <col min="13" max="13" width="16.6640625" style="39" customWidth="1"/>
    <col min="14" max="14" width="20" style="39" customWidth="1"/>
    <col min="15" max="15" width="17.44140625" style="39" customWidth="1"/>
    <col min="16" max="16" width="16.6640625" style="39" customWidth="1"/>
    <col min="17" max="17" width="20" style="39" customWidth="1"/>
    <col min="18" max="16384" width="8.88671875" style="39"/>
  </cols>
  <sheetData>
    <row r="2" spans="1:17" s="621" customFormat="1" ht="24" thickBot="1" x14ac:dyDescent="0.5">
      <c r="A2" s="622" t="s">
        <v>931</v>
      </c>
      <c r="B2" s="622"/>
      <c r="C2" s="622"/>
      <c r="D2" s="622"/>
      <c r="E2" s="622"/>
      <c r="F2" s="622"/>
      <c r="G2" s="622"/>
      <c r="H2" s="622"/>
      <c r="I2" s="622"/>
      <c r="J2" s="622"/>
      <c r="K2" s="622"/>
      <c r="L2" s="622"/>
      <c r="M2" s="622"/>
      <c r="N2" s="622"/>
      <c r="O2" s="622"/>
      <c r="P2" s="622"/>
      <c r="Q2" s="622"/>
    </row>
    <row r="3" spans="1:17" ht="14.4" thickTop="1" x14ac:dyDescent="0.3">
      <c r="A3" s="595" t="s">
        <v>542</v>
      </c>
      <c r="B3" s="596"/>
      <c r="C3" s="596"/>
      <c r="D3" s="596"/>
      <c r="E3" s="596"/>
      <c r="F3" s="596"/>
      <c r="G3" s="596"/>
      <c r="H3" s="596"/>
      <c r="I3" s="596"/>
      <c r="J3" s="596"/>
      <c r="K3" s="596"/>
      <c r="L3" s="596"/>
      <c r="M3" s="596"/>
      <c r="N3" s="596"/>
      <c r="O3" s="596"/>
      <c r="P3" s="596"/>
      <c r="Q3" s="597"/>
    </row>
    <row r="4" spans="1:17" ht="14.4" thickBot="1" x14ac:dyDescent="0.35">
      <c r="A4" s="598"/>
      <c r="B4" s="599"/>
      <c r="C4" s="599"/>
      <c r="D4" s="599"/>
      <c r="E4" s="599"/>
      <c r="F4" s="599"/>
      <c r="G4" s="599"/>
      <c r="H4" s="599"/>
      <c r="I4" s="599"/>
      <c r="J4" s="599"/>
      <c r="K4" s="599"/>
      <c r="L4" s="599"/>
      <c r="M4" s="599"/>
      <c r="N4" s="599"/>
      <c r="O4" s="599"/>
      <c r="P4" s="599"/>
      <c r="Q4" s="600"/>
    </row>
    <row r="5" spans="1:17" ht="15" thickTop="1" thickBot="1" x14ac:dyDescent="0.35">
      <c r="A5" s="532"/>
      <c r="B5" s="532"/>
      <c r="C5" s="532"/>
      <c r="D5" s="532"/>
      <c r="E5" s="532" t="s">
        <v>46</v>
      </c>
      <c r="F5" s="532"/>
      <c r="G5" s="532"/>
      <c r="H5" s="532"/>
      <c r="I5" s="532"/>
      <c r="J5" s="532"/>
      <c r="K5" s="412"/>
      <c r="L5" s="412"/>
      <c r="M5" s="532"/>
      <c r="N5" s="532"/>
      <c r="O5" s="532"/>
      <c r="P5" s="532"/>
      <c r="Q5" s="532"/>
    </row>
    <row r="6" spans="1:17" ht="40.799999999999997" thickTop="1" thickBot="1" x14ac:dyDescent="0.35">
      <c r="A6" s="379" t="s">
        <v>342</v>
      </c>
      <c r="B6" s="380" t="s">
        <v>2</v>
      </c>
      <c r="C6" s="380" t="s">
        <v>3</v>
      </c>
      <c r="D6" s="380" t="s">
        <v>343</v>
      </c>
      <c r="E6" s="380" t="s">
        <v>4</v>
      </c>
      <c r="F6" s="381" t="s">
        <v>5</v>
      </c>
      <c r="G6" s="381" t="s">
        <v>6</v>
      </c>
      <c r="H6" s="381" t="s">
        <v>7</v>
      </c>
      <c r="I6" s="382" t="s">
        <v>8</v>
      </c>
      <c r="J6" s="380" t="s">
        <v>310</v>
      </c>
      <c r="K6" s="413" t="s">
        <v>803</v>
      </c>
      <c r="L6" s="413" t="s">
        <v>804</v>
      </c>
      <c r="M6" s="382" t="s">
        <v>39</v>
      </c>
      <c r="N6" s="382" t="s">
        <v>40</v>
      </c>
      <c r="O6" s="382" t="s">
        <v>41</v>
      </c>
      <c r="P6" s="382" t="s">
        <v>42</v>
      </c>
      <c r="Q6" s="382" t="s">
        <v>9</v>
      </c>
    </row>
    <row r="7" spans="1:17" ht="54" thickTop="1" thickBot="1" x14ac:dyDescent="0.35">
      <c r="A7" s="385">
        <v>24</v>
      </c>
      <c r="B7" s="110" t="s">
        <v>10</v>
      </c>
      <c r="C7" s="103" t="s">
        <v>714</v>
      </c>
      <c r="D7" s="103" t="s">
        <v>672</v>
      </c>
      <c r="E7" s="110" t="s">
        <v>664</v>
      </c>
      <c r="F7" s="384">
        <v>43647</v>
      </c>
      <c r="G7" s="384">
        <v>44012</v>
      </c>
      <c r="H7" s="103" t="s">
        <v>37</v>
      </c>
      <c r="I7" s="105" t="s">
        <v>11</v>
      </c>
      <c r="J7" s="107">
        <v>50000</v>
      </c>
      <c r="K7" s="414">
        <v>50000</v>
      </c>
      <c r="L7" s="414">
        <f t="shared" ref="L7:L20" si="0">J7-K7</f>
        <v>0</v>
      </c>
      <c r="M7" s="592" t="s">
        <v>863</v>
      </c>
      <c r="N7" s="593"/>
      <c r="O7" s="593"/>
      <c r="P7" s="593"/>
      <c r="Q7" s="594"/>
    </row>
    <row r="8" spans="1:17" ht="54" thickTop="1" thickBot="1" x14ac:dyDescent="0.35">
      <c r="A8" s="385">
        <v>4</v>
      </c>
      <c r="B8" s="110" t="s">
        <v>10</v>
      </c>
      <c r="C8" s="103" t="s">
        <v>715</v>
      </c>
      <c r="D8" s="103" t="s">
        <v>693</v>
      </c>
      <c r="E8" s="110" t="s">
        <v>669</v>
      </c>
      <c r="F8" s="384">
        <v>43647</v>
      </c>
      <c r="G8" s="384">
        <v>44012</v>
      </c>
      <c r="H8" s="103" t="s">
        <v>37</v>
      </c>
      <c r="I8" s="105" t="s">
        <v>11</v>
      </c>
      <c r="J8" s="107">
        <v>50000</v>
      </c>
      <c r="K8" s="414">
        <v>50000</v>
      </c>
      <c r="L8" s="414">
        <f t="shared" si="0"/>
        <v>0</v>
      </c>
      <c r="M8" s="592" t="s">
        <v>863</v>
      </c>
      <c r="N8" s="593"/>
      <c r="O8" s="593"/>
      <c r="P8" s="593"/>
      <c r="Q8" s="594"/>
    </row>
    <row r="9" spans="1:17" ht="54" thickTop="1" thickBot="1" x14ac:dyDescent="0.35">
      <c r="A9" s="385">
        <v>6</v>
      </c>
      <c r="B9" s="110" t="s">
        <v>10</v>
      </c>
      <c r="C9" s="103" t="s">
        <v>714</v>
      </c>
      <c r="D9" s="103" t="s">
        <v>673</v>
      </c>
      <c r="E9" s="110" t="s">
        <v>663</v>
      </c>
      <c r="F9" s="384">
        <v>43647</v>
      </c>
      <c r="G9" s="384">
        <v>44012</v>
      </c>
      <c r="H9" s="103" t="s">
        <v>37</v>
      </c>
      <c r="I9" s="105" t="s">
        <v>11</v>
      </c>
      <c r="J9" s="107">
        <v>50000</v>
      </c>
      <c r="K9" s="414">
        <v>50000</v>
      </c>
      <c r="L9" s="414">
        <f t="shared" si="0"/>
        <v>0</v>
      </c>
      <c r="M9" s="592" t="s">
        <v>863</v>
      </c>
      <c r="N9" s="593"/>
      <c r="O9" s="593"/>
      <c r="P9" s="593"/>
      <c r="Q9" s="594"/>
    </row>
    <row r="10" spans="1:17" ht="54" thickTop="1" thickBot="1" x14ac:dyDescent="0.35">
      <c r="A10" s="385">
        <v>5</v>
      </c>
      <c r="B10" s="110" t="s">
        <v>10</v>
      </c>
      <c r="C10" s="103" t="s">
        <v>714</v>
      </c>
      <c r="D10" s="103" t="s">
        <v>674</v>
      </c>
      <c r="E10" s="110" t="s">
        <v>667</v>
      </c>
      <c r="F10" s="384">
        <v>43647</v>
      </c>
      <c r="G10" s="384">
        <v>44012</v>
      </c>
      <c r="H10" s="103" t="s">
        <v>37</v>
      </c>
      <c r="I10" s="105" t="s">
        <v>11</v>
      </c>
      <c r="J10" s="107">
        <v>50000</v>
      </c>
      <c r="K10" s="414">
        <v>50000</v>
      </c>
      <c r="L10" s="414">
        <f t="shared" si="0"/>
        <v>0</v>
      </c>
      <c r="M10" s="592" t="s">
        <v>863</v>
      </c>
      <c r="N10" s="593"/>
      <c r="O10" s="593"/>
      <c r="P10" s="593"/>
      <c r="Q10" s="594"/>
    </row>
    <row r="11" spans="1:17" ht="54" thickTop="1" thickBot="1" x14ac:dyDescent="0.35">
      <c r="A11" s="385">
        <v>9</v>
      </c>
      <c r="B11" s="110" t="s">
        <v>10</v>
      </c>
      <c r="C11" s="103" t="s">
        <v>714</v>
      </c>
      <c r="D11" s="103" t="s">
        <v>661</v>
      </c>
      <c r="E11" s="110" t="s">
        <v>668</v>
      </c>
      <c r="F11" s="384">
        <v>43647</v>
      </c>
      <c r="G11" s="384">
        <v>44012</v>
      </c>
      <c r="H11" s="103" t="s">
        <v>37</v>
      </c>
      <c r="I11" s="105" t="s">
        <v>11</v>
      </c>
      <c r="J11" s="107">
        <v>50000</v>
      </c>
      <c r="K11" s="414">
        <v>50000</v>
      </c>
      <c r="L11" s="414">
        <f t="shared" si="0"/>
        <v>0</v>
      </c>
      <c r="M11" s="592" t="s">
        <v>863</v>
      </c>
      <c r="N11" s="593"/>
      <c r="O11" s="593"/>
      <c r="P11" s="593"/>
      <c r="Q11" s="594"/>
    </row>
    <row r="12" spans="1:17" ht="67.2" thickTop="1" thickBot="1" x14ac:dyDescent="0.35">
      <c r="A12" s="385">
        <v>13</v>
      </c>
      <c r="B12" s="110" t="s">
        <v>10</v>
      </c>
      <c r="C12" s="103" t="s">
        <v>714</v>
      </c>
      <c r="D12" s="103" t="s">
        <v>662</v>
      </c>
      <c r="E12" s="110" t="s">
        <v>677</v>
      </c>
      <c r="F12" s="384">
        <v>43647</v>
      </c>
      <c r="G12" s="384">
        <v>44012</v>
      </c>
      <c r="H12" s="103" t="s">
        <v>37</v>
      </c>
      <c r="I12" s="105" t="s">
        <v>11</v>
      </c>
      <c r="J12" s="107">
        <v>50000</v>
      </c>
      <c r="K12" s="414">
        <v>50000</v>
      </c>
      <c r="L12" s="414">
        <f t="shared" si="0"/>
        <v>0</v>
      </c>
      <c r="M12" s="592" t="s">
        <v>863</v>
      </c>
      <c r="N12" s="593"/>
      <c r="O12" s="593"/>
      <c r="P12" s="593"/>
      <c r="Q12" s="594"/>
    </row>
    <row r="13" spans="1:17" ht="54" thickTop="1" thickBot="1" x14ac:dyDescent="0.35">
      <c r="A13" s="385">
        <v>15</v>
      </c>
      <c r="B13" s="110" t="s">
        <v>10</v>
      </c>
      <c r="C13" s="103" t="s">
        <v>714</v>
      </c>
      <c r="D13" s="103" t="s">
        <v>675</v>
      </c>
      <c r="E13" s="110" t="s">
        <v>676</v>
      </c>
      <c r="F13" s="384">
        <v>43647</v>
      </c>
      <c r="G13" s="384">
        <v>44012</v>
      </c>
      <c r="H13" s="103" t="s">
        <v>37</v>
      </c>
      <c r="I13" s="105" t="s">
        <v>11</v>
      </c>
      <c r="J13" s="107">
        <v>50000</v>
      </c>
      <c r="K13" s="414">
        <v>50000</v>
      </c>
      <c r="L13" s="414">
        <f t="shared" si="0"/>
        <v>0</v>
      </c>
      <c r="M13" s="592" t="s">
        <v>863</v>
      </c>
      <c r="N13" s="593"/>
      <c r="O13" s="593"/>
      <c r="P13" s="593"/>
      <c r="Q13" s="594"/>
    </row>
    <row r="14" spans="1:17" ht="40.799999999999997" customHeight="1" thickTop="1" thickBot="1" x14ac:dyDescent="0.35">
      <c r="A14" s="385">
        <v>23</v>
      </c>
      <c r="B14" s="110" t="s">
        <v>10</v>
      </c>
      <c r="C14" s="103" t="s">
        <v>714</v>
      </c>
      <c r="D14" s="103" t="s">
        <v>678</v>
      </c>
      <c r="E14" s="110" t="s">
        <v>679</v>
      </c>
      <c r="F14" s="384">
        <v>43647</v>
      </c>
      <c r="G14" s="384">
        <v>44012</v>
      </c>
      <c r="H14" s="103" t="s">
        <v>37</v>
      </c>
      <c r="I14" s="105" t="s">
        <v>11</v>
      </c>
      <c r="J14" s="107">
        <v>50000</v>
      </c>
      <c r="K14" s="414">
        <v>50000</v>
      </c>
      <c r="L14" s="414">
        <f t="shared" si="0"/>
        <v>0</v>
      </c>
      <c r="M14" s="592" t="s">
        <v>863</v>
      </c>
      <c r="N14" s="593"/>
      <c r="O14" s="593"/>
      <c r="P14" s="593"/>
      <c r="Q14" s="594"/>
    </row>
    <row r="15" spans="1:17" ht="54" thickTop="1" thickBot="1" x14ac:dyDescent="0.35">
      <c r="A15" s="385">
        <v>29</v>
      </c>
      <c r="B15" s="110" t="s">
        <v>10</v>
      </c>
      <c r="C15" s="103" t="s">
        <v>714</v>
      </c>
      <c r="D15" s="103" t="s">
        <v>680</v>
      </c>
      <c r="E15" s="110" t="s">
        <v>681</v>
      </c>
      <c r="F15" s="384">
        <v>43647</v>
      </c>
      <c r="G15" s="384">
        <v>44012</v>
      </c>
      <c r="H15" s="103" t="s">
        <v>37</v>
      </c>
      <c r="I15" s="105" t="s">
        <v>11</v>
      </c>
      <c r="J15" s="107">
        <v>50000</v>
      </c>
      <c r="K15" s="414">
        <v>50000</v>
      </c>
      <c r="L15" s="414">
        <f t="shared" si="0"/>
        <v>0</v>
      </c>
      <c r="M15" s="592" t="s">
        <v>863</v>
      </c>
      <c r="N15" s="593"/>
      <c r="O15" s="593"/>
      <c r="P15" s="593"/>
      <c r="Q15" s="594"/>
    </row>
    <row r="16" spans="1:17" ht="54" thickTop="1" thickBot="1" x14ac:dyDescent="0.35">
      <c r="A16" s="385">
        <v>29</v>
      </c>
      <c r="B16" s="110" t="s">
        <v>10</v>
      </c>
      <c r="C16" s="103" t="s">
        <v>714</v>
      </c>
      <c r="D16" s="103" t="s">
        <v>682</v>
      </c>
      <c r="E16" s="110" t="s">
        <v>683</v>
      </c>
      <c r="F16" s="384">
        <v>43647</v>
      </c>
      <c r="G16" s="384">
        <v>44012</v>
      </c>
      <c r="H16" s="103" t="s">
        <v>37</v>
      </c>
      <c r="I16" s="105" t="s">
        <v>11</v>
      </c>
      <c r="J16" s="107">
        <v>50000</v>
      </c>
      <c r="K16" s="414">
        <v>50000</v>
      </c>
      <c r="L16" s="414">
        <f t="shared" si="0"/>
        <v>0</v>
      </c>
      <c r="M16" s="592" t="s">
        <v>863</v>
      </c>
      <c r="N16" s="593"/>
      <c r="O16" s="593"/>
      <c r="P16" s="593"/>
      <c r="Q16" s="594"/>
    </row>
    <row r="17" spans="1:17" ht="54" thickTop="1" thickBot="1" x14ac:dyDescent="0.35">
      <c r="A17" s="385" t="s">
        <v>690</v>
      </c>
      <c r="B17" s="110" t="s">
        <v>10</v>
      </c>
      <c r="C17" s="103" t="s">
        <v>714</v>
      </c>
      <c r="D17" s="103" t="s">
        <v>684</v>
      </c>
      <c r="E17" s="110" t="s">
        <v>686</v>
      </c>
      <c r="F17" s="384">
        <v>43647</v>
      </c>
      <c r="G17" s="384">
        <v>44012</v>
      </c>
      <c r="H17" s="103" t="s">
        <v>37</v>
      </c>
      <c r="I17" s="105" t="s">
        <v>11</v>
      </c>
      <c r="J17" s="107">
        <v>233333.33</v>
      </c>
      <c r="K17" s="414">
        <v>233333.33199999999</v>
      </c>
      <c r="L17" s="414">
        <f t="shared" si="0"/>
        <v>-2.0000000076834112E-3</v>
      </c>
      <c r="M17" s="592" t="s">
        <v>863</v>
      </c>
      <c r="N17" s="593"/>
      <c r="O17" s="593"/>
      <c r="P17" s="593"/>
      <c r="Q17" s="594"/>
    </row>
    <row r="18" spans="1:17" ht="54" thickTop="1" thickBot="1" x14ac:dyDescent="0.35">
      <c r="A18" s="385">
        <v>21</v>
      </c>
      <c r="B18" s="110" t="s">
        <v>10</v>
      </c>
      <c r="C18" s="103" t="s">
        <v>714</v>
      </c>
      <c r="D18" s="103" t="s">
        <v>786</v>
      </c>
      <c r="E18" s="110" t="s">
        <v>686</v>
      </c>
      <c r="F18" s="384">
        <v>43647</v>
      </c>
      <c r="G18" s="384">
        <v>44012</v>
      </c>
      <c r="H18" s="103" t="s">
        <v>37</v>
      </c>
      <c r="I18" s="105" t="s">
        <v>11</v>
      </c>
      <c r="J18" s="107">
        <v>233333.33</v>
      </c>
      <c r="K18" s="414">
        <v>233333.33</v>
      </c>
      <c r="L18" s="414">
        <f t="shared" si="0"/>
        <v>0</v>
      </c>
      <c r="M18" s="592" t="s">
        <v>863</v>
      </c>
      <c r="N18" s="593"/>
      <c r="O18" s="593"/>
      <c r="P18" s="593"/>
      <c r="Q18" s="594"/>
    </row>
    <row r="19" spans="1:17" ht="54" thickTop="1" thickBot="1" x14ac:dyDescent="0.35">
      <c r="A19" s="385">
        <v>19</v>
      </c>
      <c r="B19" s="110" t="s">
        <v>10</v>
      </c>
      <c r="C19" s="103" t="s">
        <v>714</v>
      </c>
      <c r="D19" s="103" t="s">
        <v>685</v>
      </c>
      <c r="E19" s="110" t="s">
        <v>687</v>
      </c>
      <c r="F19" s="384">
        <v>43647</v>
      </c>
      <c r="G19" s="384">
        <v>44012</v>
      </c>
      <c r="H19" s="103" t="s">
        <v>37</v>
      </c>
      <c r="I19" s="105" t="s">
        <v>11</v>
      </c>
      <c r="J19" s="107">
        <v>233333.33</v>
      </c>
      <c r="K19" s="414">
        <v>233333.33</v>
      </c>
      <c r="L19" s="414">
        <f t="shared" si="0"/>
        <v>0</v>
      </c>
      <c r="M19" s="592" t="s">
        <v>863</v>
      </c>
      <c r="N19" s="593"/>
      <c r="O19" s="593"/>
      <c r="P19" s="593"/>
      <c r="Q19" s="594"/>
    </row>
    <row r="20" spans="1:17" ht="54" thickTop="1" thickBot="1" x14ac:dyDescent="0.35">
      <c r="A20" s="385">
        <v>2</v>
      </c>
      <c r="B20" s="110" t="s">
        <v>10</v>
      </c>
      <c r="C20" s="103" t="s">
        <v>714</v>
      </c>
      <c r="D20" s="103" t="s">
        <v>688</v>
      </c>
      <c r="E20" s="110" t="s">
        <v>689</v>
      </c>
      <c r="F20" s="384">
        <v>43647</v>
      </c>
      <c r="G20" s="384">
        <v>44012</v>
      </c>
      <c r="H20" s="103" t="s">
        <v>37</v>
      </c>
      <c r="I20" s="105" t="s">
        <v>11</v>
      </c>
      <c r="J20" s="107">
        <v>50000</v>
      </c>
      <c r="K20" s="414">
        <v>50000</v>
      </c>
      <c r="L20" s="414">
        <f t="shared" si="0"/>
        <v>0</v>
      </c>
      <c r="M20" s="592" t="s">
        <v>863</v>
      </c>
      <c r="N20" s="593"/>
      <c r="O20" s="593"/>
      <c r="P20" s="593"/>
      <c r="Q20" s="594"/>
    </row>
    <row r="21" spans="1:17" ht="14.4" thickTop="1" x14ac:dyDescent="0.3"/>
    <row r="22" spans="1:17" ht="14.4" thickBot="1" x14ac:dyDescent="0.35"/>
    <row r="23" spans="1:17" s="352" customFormat="1" ht="10.8" thickTop="1" x14ac:dyDescent="0.3">
      <c r="A23" s="601" t="s">
        <v>542</v>
      </c>
      <c r="B23" s="602"/>
      <c r="C23" s="602"/>
      <c r="D23" s="602"/>
      <c r="E23" s="602"/>
      <c r="F23" s="602"/>
      <c r="G23" s="602"/>
      <c r="H23" s="602"/>
      <c r="I23" s="602"/>
      <c r="J23" s="602"/>
      <c r="K23" s="603"/>
      <c r="L23" s="603"/>
      <c r="M23" s="602"/>
      <c r="N23" s="602"/>
      <c r="O23" s="602"/>
      <c r="P23" s="602"/>
      <c r="Q23" s="604"/>
    </row>
    <row r="24" spans="1:17" s="352" customFormat="1" ht="10.8" thickBot="1" x14ac:dyDescent="0.35">
      <c r="A24" s="605"/>
      <c r="B24" s="606"/>
      <c r="C24" s="606"/>
      <c r="D24" s="606"/>
      <c r="E24" s="606"/>
      <c r="F24" s="606"/>
      <c r="G24" s="606"/>
      <c r="H24" s="606"/>
      <c r="I24" s="606"/>
      <c r="J24" s="606"/>
      <c r="K24" s="606"/>
      <c r="L24" s="606"/>
      <c r="M24" s="606"/>
      <c r="N24" s="606"/>
      <c r="O24" s="606"/>
      <c r="P24" s="606"/>
      <c r="Q24" s="607"/>
    </row>
    <row r="25" spans="1:17" s="352" customFormat="1" ht="11.4" thickTop="1" thickBot="1" x14ac:dyDescent="0.35">
      <c r="A25" s="353"/>
      <c r="B25" s="353"/>
      <c r="C25" s="353" t="s">
        <v>52</v>
      </c>
      <c r="D25" s="353"/>
      <c r="E25" s="353"/>
      <c r="F25" s="353"/>
      <c r="G25" s="353"/>
      <c r="H25" s="353"/>
      <c r="I25" s="353"/>
      <c r="J25" s="353"/>
      <c r="K25" s="353"/>
      <c r="L25" s="353"/>
      <c r="M25" s="353"/>
      <c r="N25" s="353"/>
      <c r="O25" s="353"/>
      <c r="P25" s="353"/>
      <c r="Q25" s="354"/>
    </row>
    <row r="26" spans="1:17" s="352" customFormat="1" ht="21.6" thickTop="1" thickBot="1" x14ac:dyDescent="0.35">
      <c r="A26" s="355" t="s">
        <v>1</v>
      </c>
      <c r="B26" s="329" t="s">
        <v>2</v>
      </c>
      <c r="C26" s="329" t="s">
        <v>3</v>
      </c>
      <c r="D26" s="329" t="s">
        <v>314</v>
      </c>
      <c r="E26" s="329" t="s">
        <v>4</v>
      </c>
      <c r="F26" s="330" t="s">
        <v>5</v>
      </c>
      <c r="G26" s="330" t="s">
        <v>6</v>
      </c>
      <c r="H26" s="330" t="s">
        <v>7</v>
      </c>
      <c r="I26" s="331" t="s">
        <v>8</v>
      </c>
      <c r="J26" s="329" t="s">
        <v>310</v>
      </c>
      <c r="K26" s="406" t="s">
        <v>803</v>
      </c>
      <c r="L26" s="406" t="s">
        <v>804</v>
      </c>
      <c r="M26" s="331" t="s">
        <v>39</v>
      </c>
      <c r="N26" s="331" t="s">
        <v>40</v>
      </c>
      <c r="O26" s="331" t="s">
        <v>41</v>
      </c>
      <c r="P26" s="331" t="s">
        <v>42</v>
      </c>
      <c r="Q26" s="331" t="s">
        <v>9</v>
      </c>
    </row>
    <row r="27" spans="1:17" s="360" customFormat="1" ht="31.8" thickTop="1" thickBot="1" x14ac:dyDescent="0.35">
      <c r="A27" s="357" t="s">
        <v>19</v>
      </c>
      <c r="B27" s="358" t="s">
        <v>292</v>
      </c>
      <c r="C27" s="358" t="s">
        <v>294</v>
      </c>
      <c r="D27" s="358" t="s">
        <v>783</v>
      </c>
      <c r="E27" s="358" t="s">
        <v>782</v>
      </c>
      <c r="F27" s="356">
        <v>43647</v>
      </c>
      <c r="G27" s="356">
        <v>44012</v>
      </c>
      <c r="H27" s="358" t="s">
        <v>283</v>
      </c>
      <c r="I27" s="358" t="s">
        <v>11</v>
      </c>
      <c r="J27" s="359">
        <v>526000</v>
      </c>
      <c r="K27" s="407"/>
      <c r="L27" s="407">
        <f t="shared" ref="L27" si="1">J27-K27</f>
        <v>526000</v>
      </c>
      <c r="M27" s="592" t="s">
        <v>863</v>
      </c>
      <c r="N27" s="593"/>
      <c r="O27" s="593"/>
      <c r="P27" s="593"/>
      <c r="Q27" s="594"/>
    </row>
    <row r="28" spans="1:17" ht="14.4" thickTop="1" x14ac:dyDescent="0.3"/>
    <row r="29" spans="1:17" hidden="1" x14ac:dyDescent="0.3"/>
    <row r="30" spans="1:17" hidden="1" x14ac:dyDescent="0.3"/>
    <row r="31" spans="1:17" hidden="1" x14ac:dyDescent="0.3"/>
    <row r="32" spans="1:17"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sheetData>
  <mergeCells count="18">
    <mergeCell ref="A23:Q24"/>
    <mergeCell ref="M27:Q27"/>
    <mergeCell ref="M17:Q17"/>
    <mergeCell ref="M18:Q18"/>
    <mergeCell ref="M19:Q19"/>
    <mergeCell ref="M20:Q20"/>
    <mergeCell ref="A2:Q2"/>
    <mergeCell ref="M12:Q12"/>
    <mergeCell ref="M13:Q13"/>
    <mergeCell ref="M14:Q14"/>
    <mergeCell ref="M15:Q15"/>
    <mergeCell ref="M16:Q16"/>
    <mergeCell ref="M7:Q7"/>
    <mergeCell ref="M8:Q8"/>
    <mergeCell ref="M9:Q9"/>
    <mergeCell ref="M10:Q10"/>
    <mergeCell ref="M11:Q11"/>
    <mergeCell ref="A3:Q4"/>
  </mergeCells>
  <pageMargins left="0.7" right="0.7" top="0.75" bottom="0.75" header="0.3" footer="0.3"/>
  <pageSetup paperSize="9" scale="5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53"/>
  <sheetViews>
    <sheetView view="pageBreakPreview" zoomScaleNormal="100" zoomScaleSheetLayoutView="100" workbookViewId="0">
      <selection activeCell="AE27" sqref="AE27"/>
    </sheetView>
  </sheetViews>
  <sheetFormatPr defaultColWidth="9.109375" defaultRowHeight="14.4" x14ac:dyDescent="0.3"/>
  <cols>
    <col min="1" max="1" width="41.44140625" style="1" customWidth="1"/>
    <col min="2" max="2" width="104.5546875" style="1" customWidth="1"/>
    <col min="3" max="13" width="9.109375" style="1"/>
    <col min="14" max="14" width="24.33203125" style="1" customWidth="1"/>
    <col min="15" max="16384" width="9.109375" style="1"/>
  </cols>
  <sheetData>
    <row r="1" spans="1:2" ht="40.5" customHeight="1" thickTop="1" thickBot="1" x14ac:dyDescent="0.35">
      <c r="A1" s="615" t="s">
        <v>805</v>
      </c>
      <c r="B1" s="616"/>
    </row>
    <row r="2" spans="1:2" ht="43.8" thickTop="1" x14ac:dyDescent="0.3">
      <c r="A2" s="13" t="s">
        <v>229</v>
      </c>
      <c r="B2" s="14" t="s">
        <v>230</v>
      </c>
    </row>
    <row r="3" spans="1:2" x14ac:dyDescent="0.3">
      <c r="A3" s="617"/>
      <c r="B3" s="619"/>
    </row>
    <row r="4" spans="1:2" ht="15" thickBot="1" x14ac:dyDescent="0.35">
      <c r="A4" s="618"/>
      <c r="B4" s="620"/>
    </row>
    <row r="5" spans="1:2" ht="45" customHeight="1" thickTop="1" thickBot="1" x14ac:dyDescent="0.35">
      <c r="A5" s="15" t="s">
        <v>231</v>
      </c>
      <c r="B5" s="16" t="s">
        <v>232</v>
      </c>
    </row>
    <row r="6" spans="1:2" ht="231.6" thickTop="1" thickBot="1" x14ac:dyDescent="0.35">
      <c r="A6" s="17" t="s">
        <v>233</v>
      </c>
      <c r="B6" s="18" t="s">
        <v>806</v>
      </c>
    </row>
    <row r="7" spans="1:2" ht="15" thickTop="1" x14ac:dyDescent="0.3"/>
    <row r="53" spans="18:18" x14ac:dyDescent="0.3">
      <c r="R53" s="3"/>
    </row>
  </sheetData>
  <mergeCells count="3">
    <mergeCell ref="A1:B1"/>
    <mergeCell ref="A3:A4"/>
    <mergeCell ref="B3:B4"/>
  </mergeCells>
  <pageMargins left="0.70866141732283472" right="0.70866141732283472" top="0.74803149606299213" bottom="0.74803149606299213" header="0.31496062992125984" footer="0.31496062992125984"/>
  <pageSetup paperSize="9" scale="85" orientation="landscape" r:id="rId1"/>
  <headerFooter>
    <oddFooter>&amp;CAPPROVAL 2018/19 SDBIP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2"/>
  <sheetViews>
    <sheetView view="pageBreakPreview" topLeftCell="A5" zoomScale="60" zoomScaleNormal="100" workbookViewId="0">
      <selection activeCell="AE27" sqref="AE27"/>
    </sheetView>
  </sheetViews>
  <sheetFormatPr defaultColWidth="9.109375" defaultRowHeight="14.4" x14ac:dyDescent="0.3"/>
  <cols>
    <col min="1" max="1" width="11.33203125" style="21" customWidth="1"/>
    <col min="2" max="2" width="92" style="21" customWidth="1"/>
    <col min="3" max="13" width="9.109375" style="21"/>
    <col min="14" max="14" width="24.33203125" style="21" customWidth="1"/>
    <col min="15" max="16384" width="9.109375" style="21"/>
  </cols>
  <sheetData>
    <row r="1" spans="1:2" ht="166.2" thickTop="1" x14ac:dyDescent="0.3">
      <c r="A1" s="19" t="s">
        <v>237</v>
      </c>
      <c r="B1" s="20" t="s">
        <v>238</v>
      </c>
    </row>
    <row r="2" spans="1:2" ht="165.6" x14ac:dyDescent="0.3">
      <c r="A2" s="22"/>
      <c r="B2" s="23" t="s">
        <v>239</v>
      </c>
    </row>
    <row r="3" spans="1:2" ht="111" thickBot="1" x14ac:dyDescent="0.35">
      <c r="A3" s="24"/>
      <c r="B3" s="25" t="s">
        <v>240</v>
      </c>
    </row>
    <row r="4" spans="1:2" ht="194.4" thickTop="1" thickBot="1" x14ac:dyDescent="0.35">
      <c r="A4" s="533" t="s">
        <v>241</v>
      </c>
      <c r="B4" s="20" t="s">
        <v>242</v>
      </c>
    </row>
    <row r="5" spans="1:2" ht="180.6" thickTop="1" thickBot="1" x14ac:dyDescent="0.35">
      <c r="A5" s="533"/>
      <c r="B5" s="25" t="s">
        <v>243</v>
      </c>
    </row>
    <row r="6" spans="1:2" ht="139.19999999999999" thickTop="1" thickBot="1" x14ac:dyDescent="0.35">
      <c r="A6" s="99"/>
      <c r="B6" s="25" t="s">
        <v>244</v>
      </c>
    </row>
    <row r="7" spans="1:2" ht="15" thickTop="1" x14ac:dyDescent="0.3"/>
    <row r="52" spans="18:18" x14ac:dyDescent="0.3">
      <c r="R52" s="3"/>
    </row>
  </sheetData>
  <mergeCells count="1">
    <mergeCell ref="A4:A5"/>
  </mergeCells>
  <pageMargins left="0.70866141732283472" right="0.70866141732283472" top="0.74803149606299213" bottom="0.74803149606299213" header="0.31496062992125984" footer="0.31496062992125984"/>
  <pageSetup paperSize="9" scale="84" orientation="portrait" r:id="rId1"/>
  <headerFooter>
    <oddFooter>&amp;L2019/20 SDBIP&amp;CINTRODUCTION&amp;RPage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3"/>
  <sheetViews>
    <sheetView view="pageBreakPreview" zoomScale="60" zoomScaleNormal="100" workbookViewId="0">
      <selection activeCell="AE27" sqref="AE27"/>
    </sheetView>
  </sheetViews>
  <sheetFormatPr defaultColWidth="9.109375" defaultRowHeight="14.4" x14ac:dyDescent="0.3"/>
  <cols>
    <col min="1" max="1" width="11.109375" style="21" customWidth="1"/>
    <col min="2" max="2" width="76.6640625" style="21" customWidth="1"/>
    <col min="3" max="13" width="9.109375" style="21"/>
    <col min="14" max="14" width="24.33203125" style="21" customWidth="1"/>
    <col min="15" max="16384" width="9.109375" style="21"/>
  </cols>
  <sheetData>
    <row r="1" spans="1:2" ht="166.8" thickTop="1" thickBot="1" x14ac:dyDescent="0.35">
      <c r="A1" s="534" t="s">
        <v>245</v>
      </c>
      <c r="B1" s="26" t="s">
        <v>246</v>
      </c>
    </row>
    <row r="2" spans="1:2" ht="249.6" thickTop="1" thickBot="1" x14ac:dyDescent="0.35">
      <c r="A2" s="534"/>
      <c r="B2" s="26" t="s">
        <v>247</v>
      </c>
    </row>
    <row r="3" spans="1:2" ht="15.6" hidden="1" thickTop="1" thickBot="1" x14ac:dyDescent="0.35">
      <c r="A3" s="27"/>
      <c r="B3" s="28"/>
    </row>
    <row r="4" spans="1:2" ht="15" thickTop="1" x14ac:dyDescent="0.3"/>
    <row r="53" spans="18:18" x14ac:dyDescent="0.3">
      <c r="R53" s="3"/>
    </row>
  </sheetData>
  <mergeCells count="1">
    <mergeCell ref="A1:A2"/>
  </mergeCells>
  <pageMargins left="0.70866141732283472" right="0.70866141732283472" top="0.74803149606299213" bottom="0.74803149606299213" header="0.31496062992125984" footer="0.31496062992125984"/>
  <pageSetup paperSize="9" scale="99" orientation="portrait" r:id="rId1"/>
  <headerFooter>
    <oddFooter>&amp;L2019/20 SDBIP&amp;CMETHODOLOGY&amp;RPage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3"/>
  <sheetViews>
    <sheetView view="pageBreakPreview" zoomScale="60" zoomScaleNormal="100" workbookViewId="0">
      <selection activeCell="AE27" sqref="AE27"/>
    </sheetView>
  </sheetViews>
  <sheetFormatPr defaultColWidth="12.33203125" defaultRowHeight="14.4" x14ac:dyDescent="0.3"/>
  <cols>
    <col min="1" max="1" width="9.5546875" style="21" customWidth="1"/>
    <col min="2" max="2" width="76.6640625" style="21" customWidth="1"/>
    <col min="3" max="16384" width="12.33203125" style="21"/>
  </cols>
  <sheetData>
    <row r="1" spans="1:2" ht="264.60000000000002" customHeight="1" thickTop="1" thickBot="1" x14ac:dyDescent="0.35">
      <c r="A1" s="42" t="s">
        <v>248</v>
      </c>
      <c r="B1" s="29" t="s">
        <v>313</v>
      </c>
    </row>
    <row r="2" spans="1:2" ht="141" customHeight="1" thickTop="1" thickBot="1" x14ac:dyDescent="0.35">
      <c r="A2" s="535" t="s">
        <v>249</v>
      </c>
      <c r="B2" s="30" t="s">
        <v>250</v>
      </c>
    </row>
    <row r="3" spans="1:2" ht="15.6" thickTop="1" thickBot="1" x14ac:dyDescent="0.35">
      <c r="A3" s="535"/>
      <c r="B3" s="31"/>
    </row>
    <row r="4" spans="1:2" ht="15" thickTop="1" x14ac:dyDescent="0.3"/>
    <row r="53" spans="18:18" x14ac:dyDescent="0.3">
      <c r="R53" s="3"/>
    </row>
  </sheetData>
  <mergeCells count="1">
    <mergeCell ref="A2:A3"/>
  </mergeCells>
  <pageMargins left="0.70866141732283472" right="0.70866141732283472" top="0.74803149606299213" bottom="0.74803149606299213" header="0.31496062992125984" footer="0.31496062992125984"/>
  <pageSetup paperSize="9" scale="97" orientation="portrait" r:id="rId1"/>
  <headerFooter>
    <oddFooter>&amp;L2019/20 SDBIP&amp;CVISION &amp; MISSION&amp;RPage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3"/>
  <sheetViews>
    <sheetView view="pageBreakPreview" zoomScale="60" zoomScaleNormal="100" workbookViewId="0">
      <selection activeCell="AE27" sqref="AE27"/>
    </sheetView>
  </sheetViews>
  <sheetFormatPr defaultColWidth="9.109375" defaultRowHeight="14.4" x14ac:dyDescent="0.3"/>
  <cols>
    <col min="1" max="1" width="11.109375" style="21" customWidth="1"/>
    <col min="2" max="2" width="12.5546875" style="21" customWidth="1"/>
    <col min="3" max="3" width="77.109375" style="21" customWidth="1"/>
    <col min="4" max="13" width="9.109375" style="21"/>
    <col min="14" max="14" width="24.33203125" style="21" customWidth="1"/>
    <col min="15" max="16384" width="9.109375" style="21"/>
  </cols>
  <sheetData>
    <row r="1" spans="1:7" ht="15.75" customHeight="1" thickTop="1" thickBot="1" x14ac:dyDescent="0.35">
      <c r="A1" s="536" t="s">
        <v>251</v>
      </c>
      <c r="B1" s="32" t="s">
        <v>252</v>
      </c>
      <c r="C1" s="32" t="s">
        <v>253</v>
      </c>
    </row>
    <row r="2" spans="1:7" ht="51" customHeight="1" thickTop="1" thickBot="1" x14ac:dyDescent="0.35">
      <c r="A2" s="537"/>
      <c r="B2" s="538" t="s">
        <v>254</v>
      </c>
      <c r="C2" s="539" t="s">
        <v>255</v>
      </c>
    </row>
    <row r="3" spans="1:7" ht="64.2" customHeight="1" thickTop="1" thickBot="1" x14ac:dyDescent="0.35">
      <c r="A3" s="537"/>
      <c r="B3" s="538"/>
      <c r="C3" s="539"/>
    </row>
    <row r="4" spans="1:7" ht="61.5" customHeight="1" thickTop="1" thickBot="1" x14ac:dyDescent="0.35">
      <c r="A4" s="537"/>
      <c r="B4" s="538" t="s">
        <v>256</v>
      </c>
      <c r="C4" s="539" t="s">
        <v>257</v>
      </c>
    </row>
    <row r="5" spans="1:7" ht="31.95" customHeight="1" thickTop="1" thickBot="1" x14ac:dyDescent="0.35">
      <c r="A5" s="537"/>
      <c r="B5" s="538"/>
      <c r="C5" s="539"/>
    </row>
    <row r="6" spans="1:7" ht="51" customHeight="1" thickTop="1" thickBot="1" x14ac:dyDescent="0.35">
      <c r="A6" s="537"/>
      <c r="B6" s="540" t="s">
        <v>258</v>
      </c>
      <c r="C6" s="538" t="s">
        <v>259</v>
      </c>
    </row>
    <row r="7" spans="1:7" ht="22.2" customHeight="1" thickTop="1" thickBot="1" x14ac:dyDescent="0.35">
      <c r="A7" s="537"/>
      <c r="B7" s="540"/>
      <c r="C7" s="538"/>
    </row>
    <row r="8" spans="1:7" ht="105" customHeight="1" thickTop="1" thickBot="1" x14ac:dyDescent="0.35">
      <c r="A8" s="537"/>
      <c r="B8" s="538" t="s">
        <v>260</v>
      </c>
      <c r="C8" s="100" t="s">
        <v>261</v>
      </c>
    </row>
    <row r="9" spans="1:7" ht="78" customHeight="1" thickTop="1" thickBot="1" x14ac:dyDescent="0.35">
      <c r="A9" s="537"/>
      <c r="B9" s="538"/>
      <c r="C9" s="101" t="s">
        <v>262</v>
      </c>
      <c r="G9" s="1"/>
    </row>
    <row r="10" spans="1:7" ht="45.75" customHeight="1" thickTop="1" thickBot="1" x14ac:dyDescent="0.35">
      <c r="A10" s="537"/>
      <c r="B10" s="538" t="s">
        <v>263</v>
      </c>
      <c r="C10" s="539" t="s">
        <v>264</v>
      </c>
    </row>
    <row r="11" spans="1:7" ht="51.6" customHeight="1" thickTop="1" thickBot="1" x14ac:dyDescent="0.35">
      <c r="A11" s="537"/>
      <c r="B11" s="538"/>
      <c r="C11" s="539"/>
    </row>
    <row r="12" spans="1:7" hidden="1" x14ac:dyDescent="0.3">
      <c r="A12" s="33"/>
      <c r="B12" s="34"/>
      <c r="C12" s="34"/>
    </row>
    <row r="13" spans="1:7" hidden="1" x14ac:dyDescent="0.3">
      <c r="A13" s="33"/>
      <c r="B13" s="34"/>
      <c r="C13" s="34"/>
    </row>
    <row r="14" spans="1:7" hidden="1" x14ac:dyDescent="0.3">
      <c r="A14" s="33"/>
      <c r="B14" s="34"/>
      <c r="C14" s="34"/>
    </row>
    <row r="15" spans="1:7" hidden="1" x14ac:dyDescent="0.3">
      <c r="A15" s="33"/>
      <c r="B15" s="34"/>
      <c r="C15" s="34"/>
    </row>
    <row r="16" spans="1:7" hidden="1" x14ac:dyDescent="0.3">
      <c r="A16" s="33"/>
      <c r="B16" s="34"/>
      <c r="C16" s="34"/>
    </row>
    <row r="17" spans="1:3" ht="15" hidden="1" thickBot="1" x14ac:dyDescent="0.35">
      <c r="A17" s="33"/>
      <c r="B17" s="35"/>
      <c r="C17" s="35"/>
    </row>
    <row r="18" spans="1:3" ht="15" thickTop="1" x14ac:dyDescent="0.3">
      <c r="A18" s="33"/>
      <c r="B18" s="36"/>
      <c r="C18" s="36"/>
    </row>
    <row r="19" spans="1:3" x14ac:dyDescent="0.3">
      <c r="A19" s="33"/>
      <c r="B19" s="36"/>
      <c r="C19" s="36"/>
    </row>
    <row r="20" spans="1:3" x14ac:dyDescent="0.3">
      <c r="A20" s="33"/>
      <c r="B20" s="36"/>
      <c r="C20" s="36"/>
    </row>
    <row r="21" spans="1:3" x14ac:dyDescent="0.3">
      <c r="A21" s="33"/>
      <c r="B21" s="36"/>
      <c r="C21" s="36"/>
    </row>
    <row r="22" spans="1:3" x14ac:dyDescent="0.3">
      <c r="A22" s="33"/>
      <c r="B22" s="36"/>
      <c r="C22" s="36"/>
    </row>
    <row r="23" spans="1:3" x14ac:dyDescent="0.3">
      <c r="A23" s="33"/>
      <c r="B23" s="36"/>
      <c r="C23" s="36"/>
    </row>
    <row r="24" spans="1:3" x14ac:dyDescent="0.3">
      <c r="A24" s="33"/>
      <c r="B24" s="36"/>
      <c r="C24" s="36"/>
    </row>
    <row r="25" spans="1:3" x14ac:dyDescent="0.3">
      <c r="A25" s="33"/>
      <c r="B25" s="36"/>
      <c r="C25" s="36"/>
    </row>
    <row r="26" spans="1:3" x14ac:dyDescent="0.3">
      <c r="A26" s="33"/>
      <c r="B26" s="36"/>
      <c r="C26" s="36"/>
    </row>
    <row r="27" spans="1:3" x14ac:dyDescent="0.3">
      <c r="A27" s="33"/>
      <c r="B27" s="36"/>
      <c r="C27" s="36"/>
    </row>
    <row r="28" spans="1:3" x14ac:dyDescent="0.3">
      <c r="A28" s="33"/>
      <c r="B28" s="36"/>
      <c r="C28" s="36"/>
    </row>
    <row r="29" spans="1:3" x14ac:dyDescent="0.3">
      <c r="A29" s="33"/>
      <c r="B29" s="36"/>
      <c r="C29" s="36"/>
    </row>
    <row r="30" spans="1:3" x14ac:dyDescent="0.3">
      <c r="A30" s="33"/>
      <c r="B30" s="36"/>
      <c r="C30" s="36"/>
    </row>
    <row r="31" spans="1:3" x14ac:dyDescent="0.3">
      <c r="A31" s="33"/>
      <c r="B31" s="36"/>
      <c r="C31" s="36"/>
    </row>
    <row r="32" spans="1:3" x14ac:dyDescent="0.3">
      <c r="A32" s="33"/>
      <c r="B32" s="36"/>
      <c r="C32" s="36"/>
    </row>
    <row r="33" spans="1:3" x14ac:dyDescent="0.3">
      <c r="A33" s="33"/>
      <c r="B33" s="36"/>
      <c r="C33" s="36"/>
    </row>
    <row r="34" spans="1:3" x14ac:dyDescent="0.3">
      <c r="A34" s="33"/>
      <c r="B34" s="36"/>
      <c r="C34" s="36"/>
    </row>
    <row r="53" spans="18:18" x14ac:dyDescent="0.3">
      <c r="R53" s="3"/>
    </row>
  </sheetData>
  <mergeCells count="10">
    <mergeCell ref="A1:A11"/>
    <mergeCell ref="B2:B3"/>
    <mergeCell ref="C2:C3"/>
    <mergeCell ref="B4:B5"/>
    <mergeCell ref="C4:C5"/>
    <mergeCell ref="B6:B7"/>
    <mergeCell ref="C6:C7"/>
    <mergeCell ref="B8:B9"/>
    <mergeCell ref="B10:B11"/>
    <mergeCell ref="C10:C11"/>
  </mergeCells>
  <pageMargins left="0.70866141732283472" right="0.70866141732283472" top="0.74803149606299213" bottom="0.74803149606299213" header="0.31496062992125984" footer="0.31496062992125984"/>
  <pageSetup paperSize="9" scale="86" orientation="portrait" r:id="rId1"/>
  <headerFooter>
    <oddFooter>&amp;L2019/20 SDBIP&amp;COPERATIONAL STRATEGIES&amp;RPage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1"/>
  <sheetViews>
    <sheetView tabSelected="1" view="pageBreakPreview" zoomScale="60" zoomScaleNormal="100" workbookViewId="0">
      <selection activeCell="P18" sqref="C1:P18"/>
    </sheetView>
  </sheetViews>
  <sheetFormatPr defaultColWidth="8.6640625" defaultRowHeight="14.4" x14ac:dyDescent="0.3"/>
  <cols>
    <col min="1" max="1" width="27.44140625" style="102" customWidth="1"/>
    <col min="2" max="2" width="5.33203125" style="102" customWidth="1"/>
    <col min="3" max="13" width="10.109375" style="102" customWidth="1"/>
    <col min="14" max="256" width="8.6640625" style="102"/>
    <col min="257" max="257" width="27.44140625" style="102" customWidth="1"/>
    <col min="258" max="258" width="5.33203125" style="102" customWidth="1"/>
    <col min="259" max="269" width="10.109375" style="102" customWidth="1"/>
    <col min="270" max="512" width="8.6640625" style="102"/>
    <col min="513" max="513" width="27.44140625" style="102" customWidth="1"/>
    <col min="514" max="514" width="5.33203125" style="102" customWidth="1"/>
    <col min="515" max="525" width="10.109375" style="102" customWidth="1"/>
    <col min="526" max="768" width="8.6640625" style="102"/>
    <col min="769" max="769" width="27.44140625" style="102" customWidth="1"/>
    <col min="770" max="770" width="5.33203125" style="102" customWidth="1"/>
    <col min="771" max="781" width="10.109375" style="102" customWidth="1"/>
    <col min="782" max="1024" width="8.6640625" style="102"/>
    <col min="1025" max="1025" width="27.44140625" style="102" customWidth="1"/>
    <col min="1026" max="1026" width="5.33203125" style="102" customWidth="1"/>
    <col min="1027" max="1037" width="10.109375" style="102" customWidth="1"/>
    <col min="1038" max="1280" width="8.6640625" style="102"/>
    <col min="1281" max="1281" width="27.44140625" style="102" customWidth="1"/>
    <col min="1282" max="1282" width="5.33203125" style="102" customWidth="1"/>
    <col min="1283" max="1293" width="10.109375" style="102" customWidth="1"/>
    <col min="1294" max="1536" width="8.6640625" style="102"/>
    <col min="1537" max="1537" width="27.44140625" style="102" customWidth="1"/>
    <col min="1538" max="1538" width="5.33203125" style="102" customWidth="1"/>
    <col min="1539" max="1549" width="10.109375" style="102" customWidth="1"/>
    <col min="1550" max="1792" width="8.6640625" style="102"/>
    <col min="1793" max="1793" width="27.44140625" style="102" customWidth="1"/>
    <col min="1794" max="1794" width="5.33203125" style="102" customWidth="1"/>
    <col min="1795" max="1805" width="10.109375" style="102" customWidth="1"/>
    <col min="1806" max="2048" width="8.6640625" style="102"/>
    <col min="2049" max="2049" width="27.44140625" style="102" customWidth="1"/>
    <col min="2050" max="2050" width="5.33203125" style="102" customWidth="1"/>
    <col min="2051" max="2061" width="10.109375" style="102" customWidth="1"/>
    <col min="2062" max="2304" width="8.6640625" style="102"/>
    <col min="2305" max="2305" width="27.44140625" style="102" customWidth="1"/>
    <col min="2306" max="2306" width="5.33203125" style="102" customWidth="1"/>
    <col min="2307" max="2317" width="10.109375" style="102" customWidth="1"/>
    <col min="2318" max="2560" width="8.6640625" style="102"/>
    <col min="2561" max="2561" width="27.44140625" style="102" customWidth="1"/>
    <col min="2562" max="2562" width="5.33203125" style="102" customWidth="1"/>
    <col min="2563" max="2573" width="10.109375" style="102" customWidth="1"/>
    <col min="2574" max="2816" width="8.6640625" style="102"/>
    <col min="2817" max="2817" width="27.44140625" style="102" customWidth="1"/>
    <col min="2818" max="2818" width="5.33203125" style="102" customWidth="1"/>
    <col min="2819" max="2829" width="10.109375" style="102" customWidth="1"/>
    <col min="2830" max="3072" width="8.6640625" style="102"/>
    <col min="3073" max="3073" width="27.44140625" style="102" customWidth="1"/>
    <col min="3074" max="3074" width="5.33203125" style="102" customWidth="1"/>
    <col min="3075" max="3085" width="10.109375" style="102" customWidth="1"/>
    <col min="3086" max="3328" width="8.6640625" style="102"/>
    <col min="3329" max="3329" width="27.44140625" style="102" customWidth="1"/>
    <col min="3330" max="3330" width="5.33203125" style="102" customWidth="1"/>
    <col min="3331" max="3341" width="10.109375" style="102" customWidth="1"/>
    <col min="3342" max="3584" width="8.6640625" style="102"/>
    <col min="3585" max="3585" width="27.44140625" style="102" customWidth="1"/>
    <col min="3586" max="3586" width="5.33203125" style="102" customWidth="1"/>
    <col min="3587" max="3597" width="10.109375" style="102" customWidth="1"/>
    <col min="3598" max="3840" width="8.6640625" style="102"/>
    <col min="3841" max="3841" width="27.44140625" style="102" customWidth="1"/>
    <col min="3842" max="3842" width="5.33203125" style="102" customWidth="1"/>
    <col min="3843" max="3853" width="10.109375" style="102" customWidth="1"/>
    <col min="3854" max="4096" width="8.6640625" style="102"/>
    <col min="4097" max="4097" width="27.44140625" style="102" customWidth="1"/>
    <col min="4098" max="4098" width="5.33203125" style="102" customWidth="1"/>
    <col min="4099" max="4109" width="10.109375" style="102" customWidth="1"/>
    <col min="4110" max="4352" width="8.6640625" style="102"/>
    <col min="4353" max="4353" width="27.44140625" style="102" customWidth="1"/>
    <col min="4354" max="4354" width="5.33203125" style="102" customWidth="1"/>
    <col min="4355" max="4365" width="10.109375" style="102" customWidth="1"/>
    <col min="4366" max="4608" width="8.6640625" style="102"/>
    <col min="4609" max="4609" width="27.44140625" style="102" customWidth="1"/>
    <col min="4610" max="4610" width="5.33203125" style="102" customWidth="1"/>
    <col min="4611" max="4621" width="10.109375" style="102" customWidth="1"/>
    <col min="4622" max="4864" width="8.6640625" style="102"/>
    <col min="4865" max="4865" width="27.44140625" style="102" customWidth="1"/>
    <col min="4866" max="4866" width="5.33203125" style="102" customWidth="1"/>
    <col min="4867" max="4877" width="10.109375" style="102" customWidth="1"/>
    <col min="4878" max="5120" width="8.6640625" style="102"/>
    <col min="5121" max="5121" width="27.44140625" style="102" customWidth="1"/>
    <col min="5122" max="5122" width="5.33203125" style="102" customWidth="1"/>
    <col min="5123" max="5133" width="10.109375" style="102" customWidth="1"/>
    <col min="5134" max="5376" width="8.6640625" style="102"/>
    <col min="5377" max="5377" width="27.44140625" style="102" customWidth="1"/>
    <col min="5378" max="5378" width="5.33203125" style="102" customWidth="1"/>
    <col min="5379" max="5389" width="10.109375" style="102" customWidth="1"/>
    <col min="5390" max="5632" width="8.6640625" style="102"/>
    <col min="5633" max="5633" width="27.44140625" style="102" customWidth="1"/>
    <col min="5634" max="5634" width="5.33203125" style="102" customWidth="1"/>
    <col min="5635" max="5645" width="10.109375" style="102" customWidth="1"/>
    <col min="5646" max="5888" width="8.6640625" style="102"/>
    <col min="5889" max="5889" width="27.44140625" style="102" customWidth="1"/>
    <col min="5890" max="5890" width="5.33203125" style="102" customWidth="1"/>
    <col min="5891" max="5901" width="10.109375" style="102" customWidth="1"/>
    <col min="5902" max="6144" width="8.6640625" style="102"/>
    <col min="6145" max="6145" width="27.44140625" style="102" customWidth="1"/>
    <col min="6146" max="6146" width="5.33203125" style="102" customWidth="1"/>
    <col min="6147" max="6157" width="10.109375" style="102" customWidth="1"/>
    <col min="6158" max="6400" width="8.6640625" style="102"/>
    <col min="6401" max="6401" width="27.44140625" style="102" customWidth="1"/>
    <col min="6402" max="6402" width="5.33203125" style="102" customWidth="1"/>
    <col min="6403" max="6413" width="10.109375" style="102" customWidth="1"/>
    <col min="6414" max="6656" width="8.6640625" style="102"/>
    <col min="6657" max="6657" width="27.44140625" style="102" customWidth="1"/>
    <col min="6658" max="6658" width="5.33203125" style="102" customWidth="1"/>
    <col min="6659" max="6669" width="10.109375" style="102" customWidth="1"/>
    <col min="6670" max="6912" width="8.6640625" style="102"/>
    <col min="6913" max="6913" width="27.44140625" style="102" customWidth="1"/>
    <col min="6914" max="6914" width="5.33203125" style="102" customWidth="1"/>
    <col min="6915" max="6925" width="10.109375" style="102" customWidth="1"/>
    <col min="6926" max="7168" width="8.6640625" style="102"/>
    <col min="7169" max="7169" width="27.44140625" style="102" customWidth="1"/>
    <col min="7170" max="7170" width="5.33203125" style="102" customWidth="1"/>
    <col min="7171" max="7181" width="10.109375" style="102" customWidth="1"/>
    <col min="7182" max="7424" width="8.6640625" style="102"/>
    <col min="7425" max="7425" width="27.44140625" style="102" customWidth="1"/>
    <col min="7426" max="7426" width="5.33203125" style="102" customWidth="1"/>
    <col min="7427" max="7437" width="10.109375" style="102" customWidth="1"/>
    <col min="7438" max="7680" width="8.6640625" style="102"/>
    <col min="7681" max="7681" width="27.44140625" style="102" customWidth="1"/>
    <col min="7682" max="7682" width="5.33203125" style="102" customWidth="1"/>
    <col min="7683" max="7693" width="10.109375" style="102" customWidth="1"/>
    <col min="7694" max="7936" width="8.6640625" style="102"/>
    <col min="7937" max="7937" width="27.44140625" style="102" customWidth="1"/>
    <col min="7938" max="7938" width="5.33203125" style="102" customWidth="1"/>
    <col min="7939" max="7949" width="10.109375" style="102" customWidth="1"/>
    <col min="7950" max="8192" width="8.6640625" style="102"/>
    <col min="8193" max="8193" width="27.44140625" style="102" customWidth="1"/>
    <col min="8194" max="8194" width="5.33203125" style="102" customWidth="1"/>
    <col min="8195" max="8205" width="10.109375" style="102" customWidth="1"/>
    <col min="8206" max="8448" width="8.6640625" style="102"/>
    <col min="8449" max="8449" width="27.44140625" style="102" customWidth="1"/>
    <col min="8450" max="8450" width="5.33203125" style="102" customWidth="1"/>
    <col min="8451" max="8461" width="10.109375" style="102" customWidth="1"/>
    <col min="8462" max="8704" width="8.6640625" style="102"/>
    <col min="8705" max="8705" width="27.44140625" style="102" customWidth="1"/>
    <col min="8706" max="8706" width="5.33203125" style="102" customWidth="1"/>
    <col min="8707" max="8717" width="10.109375" style="102" customWidth="1"/>
    <col min="8718" max="8960" width="8.6640625" style="102"/>
    <col min="8961" max="8961" width="27.44140625" style="102" customWidth="1"/>
    <col min="8962" max="8962" width="5.33203125" style="102" customWidth="1"/>
    <col min="8963" max="8973" width="10.109375" style="102" customWidth="1"/>
    <col min="8974" max="9216" width="8.6640625" style="102"/>
    <col min="9217" max="9217" width="27.44140625" style="102" customWidth="1"/>
    <col min="9218" max="9218" width="5.33203125" style="102" customWidth="1"/>
    <col min="9219" max="9229" width="10.109375" style="102" customWidth="1"/>
    <col min="9230" max="9472" width="8.6640625" style="102"/>
    <col min="9473" max="9473" width="27.44140625" style="102" customWidth="1"/>
    <col min="9474" max="9474" width="5.33203125" style="102" customWidth="1"/>
    <col min="9475" max="9485" width="10.109375" style="102" customWidth="1"/>
    <col min="9486" max="9728" width="8.6640625" style="102"/>
    <col min="9729" max="9729" width="27.44140625" style="102" customWidth="1"/>
    <col min="9730" max="9730" width="5.33203125" style="102" customWidth="1"/>
    <col min="9731" max="9741" width="10.109375" style="102" customWidth="1"/>
    <col min="9742" max="9984" width="8.6640625" style="102"/>
    <col min="9985" max="9985" width="27.44140625" style="102" customWidth="1"/>
    <col min="9986" max="9986" width="5.33203125" style="102" customWidth="1"/>
    <col min="9987" max="9997" width="10.109375" style="102" customWidth="1"/>
    <col min="9998" max="10240" width="8.6640625" style="102"/>
    <col min="10241" max="10241" width="27.44140625" style="102" customWidth="1"/>
    <col min="10242" max="10242" width="5.33203125" style="102" customWidth="1"/>
    <col min="10243" max="10253" width="10.109375" style="102" customWidth="1"/>
    <col min="10254" max="10496" width="8.6640625" style="102"/>
    <col min="10497" max="10497" width="27.44140625" style="102" customWidth="1"/>
    <col min="10498" max="10498" width="5.33203125" style="102" customWidth="1"/>
    <col min="10499" max="10509" width="10.109375" style="102" customWidth="1"/>
    <col min="10510" max="10752" width="8.6640625" style="102"/>
    <col min="10753" max="10753" width="27.44140625" style="102" customWidth="1"/>
    <col min="10754" max="10754" width="5.33203125" style="102" customWidth="1"/>
    <col min="10755" max="10765" width="10.109375" style="102" customWidth="1"/>
    <col min="10766" max="11008" width="8.6640625" style="102"/>
    <col min="11009" max="11009" width="27.44140625" style="102" customWidth="1"/>
    <col min="11010" max="11010" width="5.33203125" style="102" customWidth="1"/>
    <col min="11011" max="11021" width="10.109375" style="102" customWidth="1"/>
    <col min="11022" max="11264" width="8.6640625" style="102"/>
    <col min="11265" max="11265" width="27.44140625" style="102" customWidth="1"/>
    <col min="11266" max="11266" width="5.33203125" style="102" customWidth="1"/>
    <col min="11267" max="11277" width="10.109375" style="102" customWidth="1"/>
    <col min="11278" max="11520" width="8.6640625" style="102"/>
    <col min="11521" max="11521" width="27.44140625" style="102" customWidth="1"/>
    <col min="11522" max="11522" width="5.33203125" style="102" customWidth="1"/>
    <col min="11523" max="11533" width="10.109375" style="102" customWidth="1"/>
    <col min="11534" max="11776" width="8.6640625" style="102"/>
    <col min="11777" max="11777" width="27.44140625" style="102" customWidth="1"/>
    <col min="11778" max="11778" width="5.33203125" style="102" customWidth="1"/>
    <col min="11779" max="11789" width="10.109375" style="102" customWidth="1"/>
    <col min="11790" max="12032" width="8.6640625" style="102"/>
    <col min="12033" max="12033" width="27.44140625" style="102" customWidth="1"/>
    <col min="12034" max="12034" width="5.33203125" style="102" customWidth="1"/>
    <col min="12035" max="12045" width="10.109375" style="102" customWidth="1"/>
    <col min="12046" max="12288" width="8.6640625" style="102"/>
    <col min="12289" max="12289" width="27.44140625" style="102" customWidth="1"/>
    <col min="12290" max="12290" width="5.33203125" style="102" customWidth="1"/>
    <col min="12291" max="12301" width="10.109375" style="102" customWidth="1"/>
    <col min="12302" max="12544" width="8.6640625" style="102"/>
    <col min="12545" max="12545" width="27.44140625" style="102" customWidth="1"/>
    <col min="12546" max="12546" width="5.33203125" style="102" customWidth="1"/>
    <col min="12547" max="12557" width="10.109375" style="102" customWidth="1"/>
    <col min="12558" max="12800" width="8.6640625" style="102"/>
    <col min="12801" max="12801" width="27.44140625" style="102" customWidth="1"/>
    <col min="12802" max="12802" width="5.33203125" style="102" customWidth="1"/>
    <col min="12803" max="12813" width="10.109375" style="102" customWidth="1"/>
    <col min="12814" max="13056" width="8.6640625" style="102"/>
    <col min="13057" max="13057" width="27.44140625" style="102" customWidth="1"/>
    <col min="13058" max="13058" width="5.33203125" style="102" customWidth="1"/>
    <col min="13059" max="13069" width="10.109375" style="102" customWidth="1"/>
    <col min="13070" max="13312" width="8.6640625" style="102"/>
    <col min="13313" max="13313" width="27.44140625" style="102" customWidth="1"/>
    <col min="13314" max="13314" width="5.33203125" style="102" customWidth="1"/>
    <col min="13315" max="13325" width="10.109375" style="102" customWidth="1"/>
    <col min="13326" max="13568" width="8.6640625" style="102"/>
    <col min="13569" max="13569" width="27.44140625" style="102" customWidth="1"/>
    <col min="13570" max="13570" width="5.33203125" style="102" customWidth="1"/>
    <col min="13571" max="13581" width="10.109375" style="102" customWidth="1"/>
    <col min="13582" max="13824" width="8.6640625" style="102"/>
    <col min="13825" max="13825" width="27.44140625" style="102" customWidth="1"/>
    <col min="13826" max="13826" width="5.33203125" style="102" customWidth="1"/>
    <col min="13827" max="13837" width="10.109375" style="102" customWidth="1"/>
    <col min="13838" max="14080" width="8.6640625" style="102"/>
    <col min="14081" max="14081" width="27.44140625" style="102" customWidth="1"/>
    <col min="14082" max="14082" width="5.33203125" style="102" customWidth="1"/>
    <col min="14083" max="14093" width="10.109375" style="102" customWidth="1"/>
    <col min="14094" max="14336" width="8.6640625" style="102"/>
    <col min="14337" max="14337" width="27.44140625" style="102" customWidth="1"/>
    <col min="14338" max="14338" width="5.33203125" style="102" customWidth="1"/>
    <col min="14339" max="14349" width="10.109375" style="102" customWidth="1"/>
    <col min="14350" max="14592" width="8.6640625" style="102"/>
    <col min="14593" max="14593" width="27.44140625" style="102" customWidth="1"/>
    <col min="14594" max="14594" width="5.33203125" style="102" customWidth="1"/>
    <col min="14595" max="14605" width="10.109375" style="102" customWidth="1"/>
    <col min="14606" max="14848" width="8.6640625" style="102"/>
    <col min="14849" max="14849" width="27.44140625" style="102" customWidth="1"/>
    <col min="14850" max="14850" width="5.33203125" style="102" customWidth="1"/>
    <col min="14851" max="14861" width="10.109375" style="102" customWidth="1"/>
    <col min="14862" max="15104" width="8.6640625" style="102"/>
    <col min="15105" max="15105" width="27.44140625" style="102" customWidth="1"/>
    <col min="15106" max="15106" width="5.33203125" style="102" customWidth="1"/>
    <col min="15107" max="15117" width="10.109375" style="102" customWidth="1"/>
    <col min="15118" max="15360" width="8.6640625" style="102"/>
    <col min="15361" max="15361" width="27.44140625" style="102" customWidth="1"/>
    <col min="15362" max="15362" width="5.33203125" style="102" customWidth="1"/>
    <col min="15363" max="15373" width="10.109375" style="102" customWidth="1"/>
    <col min="15374" max="15616" width="8.6640625" style="102"/>
    <col min="15617" max="15617" width="27.44140625" style="102" customWidth="1"/>
    <col min="15618" max="15618" width="5.33203125" style="102" customWidth="1"/>
    <col min="15619" max="15629" width="10.109375" style="102" customWidth="1"/>
    <col min="15630" max="15872" width="8.6640625" style="102"/>
    <col min="15873" max="15873" width="27.44140625" style="102" customWidth="1"/>
    <col min="15874" max="15874" width="5.33203125" style="102" customWidth="1"/>
    <col min="15875" max="15885" width="10.109375" style="102" customWidth="1"/>
    <col min="15886" max="16128" width="8.6640625" style="102"/>
    <col min="16129" max="16129" width="27.44140625" style="102" customWidth="1"/>
    <col min="16130" max="16130" width="5.33203125" style="102" customWidth="1"/>
    <col min="16131" max="16141" width="10.109375" style="102" customWidth="1"/>
    <col min="16142" max="16384" width="8.6640625" style="102"/>
  </cols>
  <sheetData>
    <row r="1" spans="1:13" ht="49.2" customHeight="1" x14ac:dyDescent="0.3">
      <c r="A1" s="436" t="s">
        <v>884</v>
      </c>
      <c r="B1" s="46"/>
      <c r="C1" s="47"/>
      <c r="D1" s="46"/>
      <c r="E1" s="46"/>
      <c r="F1" s="46"/>
      <c r="G1" s="46"/>
      <c r="H1" s="46"/>
      <c r="I1" s="46"/>
      <c r="J1" s="46"/>
      <c r="K1" s="46"/>
      <c r="L1" s="46"/>
      <c r="M1" s="46"/>
    </row>
    <row r="2" spans="1:13" ht="20.399999999999999" x14ac:dyDescent="0.3">
      <c r="A2" s="541" t="s">
        <v>892</v>
      </c>
      <c r="B2" s="543">
        <f>head27</f>
        <v>0</v>
      </c>
      <c r="C2" s="546" t="str">
        <f>[2]B3B!C2</f>
        <v>Budget Year 2019/20</v>
      </c>
      <c r="D2" s="547"/>
      <c r="E2" s="547"/>
      <c r="F2" s="547"/>
      <c r="G2" s="547"/>
      <c r="H2" s="547"/>
      <c r="I2" s="547"/>
      <c r="J2" s="547"/>
      <c r="K2" s="548"/>
      <c r="L2" s="437" t="str">
        <f>[2]B3B!L2</f>
        <v>Budget Year +1 2020/21</v>
      </c>
      <c r="M2" s="438" t="str">
        <f>[2]B3B!M2</f>
        <v>Budget Year +2 2021/22</v>
      </c>
    </row>
    <row r="3" spans="1:13" ht="20.399999999999999" x14ac:dyDescent="0.3">
      <c r="A3" s="542"/>
      <c r="B3" s="544"/>
      <c r="C3" s="439" t="s">
        <v>310</v>
      </c>
      <c r="D3" s="440" t="s">
        <v>885</v>
      </c>
      <c r="E3" s="440" t="s">
        <v>886</v>
      </c>
      <c r="F3" s="440" t="s">
        <v>887</v>
      </c>
      <c r="G3" s="440" t="s">
        <v>888</v>
      </c>
      <c r="H3" s="440" t="s">
        <v>889</v>
      </c>
      <c r="I3" s="441" t="s">
        <v>890</v>
      </c>
      <c r="J3" s="441" t="s">
        <v>891</v>
      </c>
      <c r="K3" s="441" t="s">
        <v>804</v>
      </c>
      <c r="L3" s="441" t="s">
        <v>804</v>
      </c>
      <c r="M3" s="442" t="s">
        <v>804</v>
      </c>
    </row>
    <row r="4" spans="1:13" x14ac:dyDescent="0.3">
      <c r="A4" s="443" t="s">
        <v>871</v>
      </c>
      <c r="B4" s="544"/>
      <c r="C4" s="444"/>
      <c r="D4" s="445">
        <v>3</v>
      </c>
      <c r="E4" s="445">
        <v>4</v>
      </c>
      <c r="F4" s="445">
        <v>5</v>
      </c>
      <c r="G4" s="445">
        <v>6</v>
      </c>
      <c r="H4" s="445">
        <v>7</v>
      </c>
      <c r="I4" s="445">
        <v>8</v>
      </c>
      <c r="J4" s="445">
        <v>9</v>
      </c>
      <c r="K4" s="445">
        <v>10</v>
      </c>
      <c r="L4" s="445"/>
      <c r="M4" s="446"/>
    </row>
    <row r="5" spans="1:13" x14ac:dyDescent="0.3">
      <c r="A5" s="447" t="s">
        <v>872</v>
      </c>
      <c r="B5" s="545"/>
      <c r="C5" s="448" t="s">
        <v>873</v>
      </c>
      <c r="D5" s="449" t="s">
        <v>874</v>
      </c>
      <c r="E5" s="449" t="s">
        <v>875</v>
      </c>
      <c r="F5" s="450" t="s">
        <v>876</v>
      </c>
      <c r="G5" s="450" t="s">
        <v>877</v>
      </c>
      <c r="H5" s="450" t="s">
        <v>878</v>
      </c>
      <c r="I5" s="451" t="s">
        <v>879</v>
      </c>
      <c r="J5" s="451" t="s">
        <v>880</v>
      </c>
      <c r="K5" s="451" t="s">
        <v>881</v>
      </c>
      <c r="L5" s="452"/>
      <c r="M5" s="453"/>
    </row>
    <row r="6" spans="1:13" x14ac:dyDescent="0.3">
      <c r="A6" s="93" t="s">
        <v>387</v>
      </c>
      <c r="B6" s="454">
        <v>1</v>
      </c>
      <c r="C6" s="455"/>
      <c r="D6" s="456"/>
      <c r="E6" s="456"/>
      <c r="F6" s="456"/>
      <c r="G6" s="456"/>
      <c r="H6" s="456"/>
      <c r="I6" s="456"/>
      <c r="J6" s="456"/>
      <c r="K6" s="456"/>
      <c r="L6" s="180"/>
      <c r="M6" s="457"/>
    </row>
    <row r="7" spans="1:13" x14ac:dyDescent="0.3">
      <c r="A7" s="235" t="str">
        <f>'[2]Org structure'!A2</f>
        <v>Vote 1 - Executive &amp; Council</v>
      </c>
      <c r="B7" s="458"/>
      <c r="C7" s="50">
        <f t="shared" ref="C7:I7" si="0">SUM(C8:C9)</f>
        <v>0</v>
      </c>
      <c r="D7" s="51">
        <f t="shared" si="0"/>
        <v>0</v>
      </c>
      <c r="E7" s="51">
        <f t="shared" si="0"/>
        <v>0</v>
      </c>
      <c r="F7" s="51">
        <f t="shared" si="0"/>
        <v>0</v>
      </c>
      <c r="G7" s="51">
        <f t="shared" si="0"/>
        <v>0</v>
      </c>
      <c r="H7" s="51">
        <f t="shared" si="0"/>
        <v>0</v>
      </c>
      <c r="I7" s="51">
        <f t="shared" si="0"/>
        <v>0</v>
      </c>
      <c r="J7" s="52">
        <f>SUM(E7:I7)</f>
        <v>0</v>
      </c>
      <c r="K7" s="52">
        <f>IF(D7=0,C7+J7,D7+J7)</f>
        <v>0</v>
      </c>
      <c r="L7" s="51">
        <f>SUM(L8:L9)</f>
        <v>0</v>
      </c>
      <c r="M7" s="459">
        <f>SUM(M8:M9)</f>
        <v>0</v>
      </c>
    </row>
    <row r="8" spans="1:13" x14ac:dyDescent="0.3">
      <c r="A8" s="66" t="str">
        <f>'[2]Org structure'!E3</f>
        <v>1.1 - Mayor and Council</v>
      </c>
      <c r="B8" s="460"/>
      <c r="C8" s="461"/>
      <c r="D8" s="462"/>
      <c r="E8" s="462"/>
      <c r="F8" s="462"/>
      <c r="G8" s="462"/>
      <c r="H8" s="462"/>
      <c r="I8" s="462"/>
      <c r="J8" s="52">
        <f t="shared" ref="J8:J31" si="1">SUM(E8:I8)</f>
        <v>0</v>
      </c>
      <c r="K8" s="52">
        <f t="shared" ref="K8:K31" si="2">IF(D8=0,C8+J8,D8+J8)</f>
        <v>0</v>
      </c>
      <c r="L8" s="462"/>
      <c r="M8" s="463"/>
    </row>
    <row r="9" spans="1:13" x14ac:dyDescent="0.3">
      <c r="A9" s="66" t="str">
        <f>'[2]Org structure'!E4</f>
        <v>1.2 - Municipal Manager</v>
      </c>
      <c r="B9" s="460"/>
      <c r="C9" s="461"/>
      <c r="D9" s="462"/>
      <c r="E9" s="462"/>
      <c r="F9" s="462"/>
      <c r="G9" s="462"/>
      <c r="H9" s="462"/>
      <c r="I9" s="462"/>
      <c r="J9" s="52">
        <f t="shared" si="1"/>
        <v>0</v>
      </c>
      <c r="K9" s="52">
        <f t="shared" si="2"/>
        <v>0</v>
      </c>
      <c r="L9" s="462"/>
      <c r="M9" s="463"/>
    </row>
    <row r="10" spans="1:13" x14ac:dyDescent="0.3">
      <c r="A10" s="235" t="str">
        <f>'[2]Org structure'!A3</f>
        <v>Vote 2 - Finance and Administration</v>
      </c>
      <c r="B10" s="458"/>
      <c r="C10" s="50">
        <f>SUM(C11:C20)</f>
        <v>395389361</v>
      </c>
      <c r="D10" s="51">
        <f t="shared" ref="D10:I10" si="3">SUM(D11:D20)</f>
        <v>0</v>
      </c>
      <c r="E10" s="51">
        <f t="shared" si="3"/>
        <v>0</v>
      </c>
      <c r="F10" s="51">
        <f t="shared" si="3"/>
        <v>0</v>
      </c>
      <c r="G10" s="51">
        <f t="shared" si="3"/>
        <v>0</v>
      </c>
      <c r="H10" s="51">
        <f t="shared" si="3"/>
        <v>0</v>
      </c>
      <c r="I10" s="51">
        <f t="shared" si="3"/>
        <v>-20472844.684799999</v>
      </c>
      <c r="J10" s="52">
        <f t="shared" si="1"/>
        <v>-20472844.684799999</v>
      </c>
      <c r="K10" s="52">
        <f t="shared" si="2"/>
        <v>374916516.31519997</v>
      </c>
      <c r="L10" s="51">
        <f>SUM(L11:L20)</f>
        <v>392840929.79578203</v>
      </c>
      <c r="M10" s="459">
        <f>SUM(M11:M20)</f>
        <v>420919388.00475401</v>
      </c>
    </row>
    <row r="11" spans="1:13" x14ac:dyDescent="0.3">
      <c r="A11" s="66" t="str">
        <f>'[2]Org structure'!E14</f>
        <v>2.1 - Administrative and Corporate Support</v>
      </c>
      <c r="B11" s="460"/>
      <c r="C11" s="461"/>
      <c r="D11" s="462"/>
      <c r="E11" s="462"/>
      <c r="F11" s="462"/>
      <c r="G11" s="462"/>
      <c r="H11" s="462"/>
      <c r="I11" s="462"/>
      <c r="J11" s="52">
        <f t="shared" si="1"/>
        <v>0</v>
      </c>
      <c r="K11" s="52">
        <f t="shared" si="2"/>
        <v>0</v>
      </c>
      <c r="L11" s="462"/>
      <c r="M11" s="463"/>
    </row>
    <row r="12" spans="1:13" x14ac:dyDescent="0.3">
      <c r="A12" s="66" t="str">
        <f>'[2]Org structure'!E15</f>
        <v>2.2 - Asset Management</v>
      </c>
      <c r="B12" s="460"/>
      <c r="C12" s="461"/>
      <c r="D12" s="462"/>
      <c r="E12" s="462"/>
      <c r="F12" s="462"/>
      <c r="G12" s="462"/>
      <c r="H12" s="462"/>
      <c r="I12" s="462"/>
      <c r="J12" s="52">
        <f t="shared" si="1"/>
        <v>0</v>
      </c>
      <c r="K12" s="52">
        <f t="shared" si="2"/>
        <v>0</v>
      </c>
      <c r="L12" s="462"/>
      <c r="M12" s="463"/>
    </row>
    <row r="13" spans="1:13" x14ac:dyDescent="0.3">
      <c r="A13" s="66" t="str">
        <f>'[2]Org structure'!E16</f>
        <v>2.3 - Budget and Treasury Office</v>
      </c>
      <c r="B13" s="460"/>
      <c r="C13" s="54">
        <v>395389361</v>
      </c>
      <c r="D13" s="462"/>
      <c r="E13" s="462"/>
      <c r="F13" s="462"/>
      <c r="G13" s="462"/>
      <c r="H13" s="462"/>
      <c r="I13" s="53">
        <f>-25841488.1148+25000-42000+2854732.5+7500000-5267089.07+298000</f>
        <v>-20472844.684799999</v>
      </c>
      <c r="J13" s="52">
        <f t="shared" si="1"/>
        <v>-20472844.684799999</v>
      </c>
      <c r="K13" s="52">
        <f t="shared" si="2"/>
        <v>374916516.31519997</v>
      </c>
      <c r="L13" s="462">
        <v>392840929.79578203</v>
      </c>
      <c r="M13" s="463">
        <v>420919388.00475401</v>
      </c>
    </row>
    <row r="14" spans="1:13" x14ac:dyDescent="0.3">
      <c r="A14" s="66" t="str">
        <f>'[2]Org structure'!E17</f>
        <v>2.4 - Human Resource</v>
      </c>
      <c r="B14" s="460"/>
      <c r="C14" s="461"/>
      <c r="D14" s="462"/>
      <c r="E14" s="462"/>
      <c r="F14" s="462"/>
      <c r="G14" s="462"/>
      <c r="H14" s="462"/>
      <c r="I14" s="462"/>
      <c r="J14" s="52">
        <f t="shared" si="1"/>
        <v>0</v>
      </c>
      <c r="K14" s="52">
        <f t="shared" si="2"/>
        <v>0</v>
      </c>
      <c r="L14" s="462"/>
      <c r="M14" s="463"/>
    </row>
    <row r="15" spans="1:13" x14ac:dyDescent="0.3">
      <c r="A15" s="66" t="str">
        <f>'[2]Org structure'!E18</f>
        <v>2.5 - Information Technology</v>
      </c>
      <c r="B15" s="460"/>
      <c r="C15" s="461"/>
      <c r="D15" s="462"/>
      <c r="E15" s="462"/>
      <c r="F15" s="462"/>
      <c r="G15" s="462"/>
      <c r="H15" s="462"/>
      <c r="I15" s="462"/>
      <c r="J15" s="52">
        <f t="shared" si="1"/>
        <v>0</v>
      </c>
      <c r="K15" s="52">
        <f t="shared" si="2"/>
        <v>0</v>
      </c>
      <c r="L15" s="462"/>
      <c r="M15" s="463"/>
    </row>
    <row r="16" spans="1:13" x14ac:dyDescent="0.3">
      <c r="A16" s="66" t="str">
        <f>'[2]Org structure'!E19</f>
        <v>2.6 - Legal Services</v>
      </c>
      <c r="B16" s="460"/>
      <c r="C16" s="461"/>
      <c r="D16" s="462"/>
      <c r="E16" s="462"/>
      <c r="F16" s="462"/>
      <c r="G16" s="462"/>
      <c r="H16" s="462"/>
      <c r="I16" s="462"/>
      <c r="J16" s="52">
        <f t="shared" si="1"/>
        <v>0</v>
      </c>
      <c r="K16" s="52">
        <f t="shared" si="2"/>
        <v>0</v>
      </c>
      <c r="L16" s="462"/>
      <c r="M16" s="463"/>
    </row>
    <row r="17" spans="1:13" x14ac:dyDescent="0.3">
      <c r="A17" s="66" t="str">
        <f>'[2]Org structure'!E20</f>
        <v>2.7 - Customer Relation and Coordination</v>
      </c>
      <c r="B17" s="460"/>
      <c r="C17" s="461"/>
      <c r="D17" s="462"/>
      <c r="E17" s="462"/>
      <c r="F17" s="462"/>
      <c r="G17" s="462"/>
      <c r="H17" s="462"/>
      <c r="I17" s="462"/>
      <c r="J17" s="52">
        <f t="shared" si="1"/>
        <v>0</v>
      </c>
      <c r="K17" s="52">
        <f t="shared" si="2"/>
        <v>0</v>
      </c>
      <c r="L17" s="462"/>
      <c r="M17" s="463"/>
    </row>
    <row r="18" spans="1:13" x14ac:dyDescent="0.3">
      <c r="A18" s="66" t="str">
        <f>'[2]Org structure'!E21</f>
        <v>2.8 - Property Services</v>
      </c>
      <c r="B18" s="460"/>
      <c r="C18" s="461"/>
      <c r="D18" s="462"/>
      <c r="E18" s="462"/>
      <c r="F18" s="462"/>
      <c r="G18" s="462"/>
      <c r="H18" s="462"/>
      <c r="I18" s="462"/>
      <c r="J18" s="52">
        <f t="shared" si="1"/>
        <v>0</v>
      </c>
      <c r="K18" s="52">
        <f t="shared" si="2"/>
        <v>0</v>
      </c>
      <c r="L18" s="462"/>
      <c r="M18" s="463"/>
    </row>
    <row r="19" spans="1:13" x14ac:dyDescent="0.3">
      <c r="A19" s="66" t="str">
        <f>'[2]Org structure'!E22</f>
        <v>2.8 - Property Services</v>
      </c>
      <c r="B19" s="460"/>
      <c r="C19" s="461"/>
      <c r="D19" s="462"/>
      <c r="E19" s="462"/>
      <c r="F19" s="462"/>
      <c r="G19" s="462"/>
      <c r="H19" s="462"/>
      <c r="I19" s="462"/>
      <c r="J19" s="52">
        <f t="shared" si="1"/>
        <v>0</v>
      </c>
      <c r="K19" s="52">
        <f t="shared" si="2"/>
        <v>0</v>
      </c>
      <c r="L19" s="462"/>
      <c r="M19" s="463"/>
    </row>
    <row r="20" spans="1:13" x14ac:dyDescent="0.3">
      <c r="A20" s="66" t="str">
        <f>'[2]Org structure'!E23</f>
        <v>2.10 - Supply Chain Management</v>
      </c>
      <c r="B20" s="460"/>
      <c r="C20" s="461"/>
      <c r="D20" s="462"/>
      <c r="E20" s="462"/>
      <c r="F20" s="462"/>
      <c r="G20" s="462"/>
      <c r="H20" s="462"/>
      <c r="I20" s="462"/>
      <c r="J20" s="52">
        <f t="shared" si="1"/>
        <v>0</v>
      </c>
      <c r="K20" s="52">
        <f t="shared" si="2"/>
        <v>0</v>
      </c>
      <c r="L20" s="462"/>
      <c r="M20" s="463"/>
    </row>
    <row r="21" spans="1:13" x14ac:dyDescent="0.3">
      <c r="A21" s="235" t="str">
        <f>'[2]Org structure'!A4</f>
        <v>Vote 3 - Internal Audit</v>
      </c>
      <c r="B21" s="458"/>
      <c r="C21" s="50">
        <f t="shared" ref="C21:I21" si="4">SUM(C22:C22)</f>
        <v>0</v>
      </c>
      <c r="D21" s="51">
        <f t="shared" si="4"/>
        <v>0</v>
      </c>
      <c r="E21" s="51">
        <f t="shared" si="4"/>
        <v>0</v>
      </c>
      <c r="F21" s="51">
        <f t="shared" si="4"/>
        <v>0</v>
      </c>
      <c r="G21" s="51">
        <f t="shared" si="4"/>
        <v>0</v>
      </c>
      <c r="H21" s="51">
        <f t="shared" si="4"/>
        <v>0</v>
      </c>
      <c r="I21" s="51">
        <f t="shared" si="4"/>
        <v>0</v>
      </c>
      <c r="J21" s="52">
        <f t="shared" si="1"/>
        <v>0</v>
      </c>
      <c r="K21" s="52">
        <f t="shared" si="2"/>
        <v>0</v>
      </c>
      <c r="L21" s="51">
        <f>SUM(L22:L22)</f>
        <v>0</v>
      </c>
      <c r="M21" s="459">
        <f>SUM(M22:M22)</f>
        <v>0</v>
      </c>
    </row>
    <row r="22" spans="1:13" x14ac:dyDescent="0.3">
      <c r="A22" s="66" t="str">
        <f>'[2]Org structure'!E25</f>
        <v>3.1 - Governance Function</v>
      </c>
      <c r="B22" s="460"/>
      <c r="C22" s="461"/>
      <c r="D22" s="462"/>
      <c r="E22" s="462"/>
      <c r="F22" s="462"/>
      <c r="G22" s="462"/>
      <c r="H22" s="462"/>
      <c r="I22" s="462"/>
      <c r="J22" s="52">
        <f t="shared" si="1"/>
        <v>0</v>
      </c>
      <c r="K22" s="52">
        <f t="shared" si="2"/>
        <v>0</v>
      </c>
      <c r="L22" s="462"/>
      <c r="M22" s="463"/>
    </row>
    <row r="23" spans="1:13" x14ac:dyDescent="0.3">
      <c r="A23" s="235" t="str">
        <f>'[2]Org structure'!A5</f>
        <v>Vote 4 - Community and Public Safety</v>
      </c>
      <c r="B23" s="458"/>
      <c r="C23" s="50">
        <f t="shared" ref="C23:I23" si="5">SUM(C24:C27)</f>
        <v>0</v>
      </c>
      <c r="D23" s="51">
        <f t="shared" si="5"/>
        <v>0</v>
      </c>
      <c r="E23" s="51">
        <f t="shared" si="5"/>
        <v>0</v>
      </c>
      <c r="F23" s="51">
        <f t="shared" si="5"/>
        <v>0</v>
      </c>
      <c r="G23" s="51">
        <f t="shared" si="5"/>
        <v>0</v>
      </c>
      <c r="H23" s="51">
        <f t="shared" si="5"/>
        <v>0</v>
      </c>
      <c r="I23" s="51">
        <f t="shared" si="5"/>
        <v>0</v>
      </c>
      <c r="J23" s="52">
        <f t="shared" si="1"/>
        <v>0</v>
      </c>
      <c r="K23" s="52">
        <f t="shared" si="2"/>
        <v>0</v>
      </c>
      <c r="L23" s="51">
        <f>SUM(L24:L27)</f>
        <v>0</v>
      </c>
      <c r="M23" s="459">
        <f>SUM(M24:M27)</f>
        <v>0</v>
      </c>
    </row>
    <row r="24" spans="1:13" x14ac:dyDescent="0.3">
      <c r="A24" s="66" t="str">
        <f>'[2]Org structure'!E36</f>
        <v>4.1 - Cemetries and crematoriums</v>
      </c>
      <c r="B24" s="460"/>
      <c r="C24" s="461"/>
      <c r="D24" s="462"/>
      <c r="E24" s="462"/>
      <c r="F24" s="462"/>
      <c r="G24" s="462"/>
      <c r="H24" s="462"/>
      <c r="I24" s="462"/>
      <c r="J24" s="52">
        <f t="shared" si="1"/>
        <v>0</v>
      </c>
      <c r="K24" s="52">
        <f t="shared" si="2"/>
        <v>0</v>
      </c>
      <c r="L24" s="462"/>
      <c r="M24" s="463"/>
    </row>
    <row r="25" spans="1:13" x14ac:dyDescent="0.3">
      <c r="A25" s="66" t="str">
        <f>'[2]Org structure'!E37</f>
        <v>4.2 - Community halls and Facilities</v>
      </c>
      <c r="B25" s="460"/>
      <c r="C25" s="461"/>
      <c r="D25" s="462"/>
      <c r="E25" s="462"/>
      <c r="F25" s="462"/>
      <c r="G25" s="462"/>
      <c r="H25" s="462"/>
      <c r="I25" s="462"/>
      <c r="J25" s="52">
        <f t="shared" si="1"/>
        <v>0</v>
      </c>
      <c r="K25" s="52">
        <f t="shared" si="2"/>
        <v>0</v>
      </c>
      <c r="L25" s="462"/>
      <c r="M25" s="463"/>
    </row>
    <row r="26" spans="1:13" x14ac:dyDescent="0.3">
      <c r="A26" s="66" t="str">
        <f>'[2]Org structure'!E38</f>
        <v>4.3 - Disaster Management</v>
      </c>
      <c r="B26" s="460"/>
      <c r="C26" s="461"/>
      <c r="D26" s="462"/>
      <c r="E26" s="462"/>
      <c r="F26" s="462"/>
      <c r="G26" s="462"/>
      <c r="H26" s="462"/>
      <c r="I26" s="462"/>
      <c r="J26" s="52">
        <f t="shared" si="1"/>
        <v>0</v>
      </c>
      <c r="K26" s="52">
        <f t="shared" si="2"/>
        <v>0</v>
      </c>
      <c r="L26" s="462"/>
      <c r="M26" s="463"/>
    </row>
    <row r="27" spans="1:13" x14ac:dyDescent="0.3">
      <c r="A27" s="66" t="str">
        <f>'[2]Org structure'!E39</f>
        <v>4.4 - Libraries and Archives</v>
      </c>
      <c r="B27" s="460"/>
      <c r="C27" s="461"/>
      <c r="D27" s="462"/>
      <c r="E27" s="462"/>
      <c r="F27" s="462"/>
      <c r="G27" s="462"/>
      <c r="H27" s="462"/>
      <c r="I27" s="462"/>
      <c r="J27" s="52">
        <f t="shared" si="1"/>
        <v>0</v>
      </c>
      <c r="K27" s="52">
        <f t="shared" si="2"/>
        <v>0</v>
      </c>
      <c r="L27" s="462"/>
      <c r="M27" s="463"/>
    </row>
    <row r="28" spans="1:13" x14ac:dyDescent="0.3">
      <c r="A28" s="235" t="str">
        <f>'[2]Org structure'!A6</f>
        <v>Vote 5 - Sports and Recreation</v>
      </c>
      <c r="B28" s="458"/>
      <c r="C28" s="50">
        <f t="shared" ref="C28:I28" si="6">SUM(C29:C29)</f>
        <v>0</v>
      </c>
      <c r="D28" s="51">
        <f t="shared" si="6"/>
        <v>0</v>
      </c>
      <c r="E28" s="51">
        <f t="shared" si="6"/>
        <v>0</v>
      </c>
      <c r="F28" s="51">
        <f t="shared" si="6"/>
        <v>0</v>
      </c>
      <c r="G28" s="51">
        <f t="shared" si="6"/>
        <v>0</v>
      </c>
      <c r="H28" s="51">
        <f t="shared" si="6"/>
        <v>0</v>
      </c>
      <c r="I28" s="51">
        <f t="shared" si="6"/>
        <v>0</v>
      </c>
      <c r="J28" s="52">
        <f t="shared" si="1"/>
        <v>0</v>
      </c>
      <c r="K28" s="52">
        <f t="shared" si="2"/>
        <v>0</v>
      </c>
      <c r="L28" s="51">
        <f>SUM(L29:L29)</f>
        <v>0</v>
      </c>
      <c r="M28" s="459">
        <f>SUM(M29:M29)</f>
        <v>0</v>
      </c>
    </row>
    <row r="29" spans="1:13" x14ac:dyDescent="0.3">
      <c r="A29" s="66" t="str">
        <f>'[2]Org structure'!E47</f>
        <v>5.1 - Community parks</v>
      </c>
      <c r="B29" s="460"/>
      <c r="C29" s="461"/>
      <c r="D29" s="462"/>
      <c r="E29" s="462"/>
      <c r="F29" s="462"/>
      <c r="G29" s="462"/>
      <c r="H29" s="462"/>
      <c r="I29" s="462"/>
      <c r="J29" s="52">
        <f t="shared" si="1"/>
        <v>0</v>
      </c>
      <c r="K29" s="52">
        <f t="shared" si="2"/>
        <v>0</v>
      </c>
      <c r="L29" s="462"/>
      <c r="M29" s="463"/>
    </row>
    <row r="30" spans="1:13" x14ac:dyDescent="0.3">
      <c r="A30" s="235" t="str">
        <f>'[2]Org structure'!A7</f>
        <v>Vote 6 - Housing</v>
      </c>
      <c r="B30" s="458"/>
      <c r="C30" s="50">
        <f t="shared" ref="C30:I30" si="7">SUM(C31:C31)</f>
        <v>0</v>
      </c>
      <c r="D30" s="51">
        <f t="shared" si="7"/>
        <v>0</v>
      </c>
      <c r="E30" s="51">
        <f t="shared" si="7"/>
        <v>0</v>
      </c>
      <c r="F30" s="51">
        <f t="shared" si="7"/>
        <v>0</v>
      </c>
      <c r="G30" s="51">
        <f t="shared" si="7"/>
        <v>0</v>
      </c>
      <c r="H30" s="51">
        <f t="shared" si="7"/>
        <v>0</v>
      </c>
      <c r="I30" s="51">
        <f t="shared" si="7"/>
        <v>0</v>
      </c>
      <c r="J30" s="52">
        <f t="shared" si="1"/>
        <v>0</v>
      </c>
      <c r="K30" s="52">
        <f t="shared" si="2"/>
        <v>0</v>
      </c>
      <c r="L30" s="51">
        <f>SUM(L31:L31)</f>
        <v>0</v>
      </c>
      <c r="M30" s="459">
        <f>SUM(M31:M31)</f>
        <v>0</v>
      </c>
    </row>
    <row r="31" spans="1:13" x14ac:dyDescent="0.3">
      <c r="A31" s="66" t="str">
        <f>'[2]Org structure'!E58</f>
        <v>6.1 - Housing</v>
      </c>
      <c r="B31" s="460"/>
      <c r="C31" s="461"/>
      <c r="D31" s="462"/>
      <c r="E31" s="462"/>
      <c r="F31" s="462"/>
      <c r="G31" s="462"/>
      <c r="H31" s="462"/>
      <c r="I31" s="462"/>
      <c r="J31" s="52">
        <f t="shared" si="1"/>
        <v>0</v>
      </c>
      <c r="K31" s="52">
        <f t="shared" si="2"/>
        <v>0</v>
      </c>
      <c r="L31" s="462"/>
      <c r="M31" s="463"/>
    </row>
    <row r="32" spans="1:13" x14ac:dyDescent="0.3">
      <c r="A32" s="235" t="str">
        <f>'[2]Org structure'!A8</f>
        <v xml:space="preserve">Vote 7 - Planning and development </v>
      </c>
      <c r="B32" s="458"/>
      <c r="C32" s="50">
        <f t="shared" ref="C32:I32" si="8">SUM(C33:C35)</f>
        <v>0</v>
      </c>
      <c r="D32" s="51">
        <f t="shared" si="8"/>
        <v>0</v>
      </c>
      <c r="E32" s="51">
        <f t="shared" si="8"/>
        <v>0</v>
      </c>
      <c r="F32" s="51">
        <f t="shared" si="8"/>
        <v>0</v>
      </c>
      <c r="G32" s="51">
        <f t="shared" si="8"/>
        <v>0</v>
      </c>
      <c r="H32" s="51">
        <f t="shared" si="8"/>
        <v>0</v>
      </c>
      <c r="I32" s="51">
        <f t="shared" si="8"/>
        <v>0</v>
      </c>
      <c r="J32" s="52">
        <f t="shared" ref="J32:J48" si="9">SUM(E32:I32)</f>
        <v>0</v>
      </c>
      <c r="K32" s="52">
        <f t="shared" ref="K32:K48" si="10">IF(D32=0,C32+J32,D32+J32)</f>
        <v>0</v>
      </c>
      <c r="L32" s="51">
        <f>SUM(L33:L35)</f>
        <v>0</v>
      </c>
      <c r="M32" s="459">
        <f>SUM(M33:M35)</f>
        <v>0</v>
      </c>
    </row>
    <row r="33" spans="1:13" x14ac:dyDescent="0.3">
      <c r="A33" s="66" t="str">
        <f>'[2]Org structure'!E69</f>
        <v>7.1 - Corporate Wide Strategic Planning (IDP &amp; LED)</v>
      </c>
      <c r="B33" s="460"/>
      <c r="C33" s="461"/>
      <c r="D33" s="462"/>
      <c r="E33" s="462"/>
      <c r="F33" s="462"/>
      <c r="G33" s="462"/>
      <c r="H33" s="462"/>
      <c r="I33" s="462"/>
      <c r="J33" s="52">
        <f t="shared" si="9"/>
        <v>0</v>
      </c>
      <c r="K33" s="52">
        <f t="shared" si="10"/>
        <v>0</v>
      </c>
      <c r="L33" s="462"/>
      <c r="M33" s="463"/>
    </row>
    <row r="34" spans="1:13" x14ac:dyDescent="0.3">
      <c r="A34" s="66" t="str">
        <f>'[2]Org structure'!E70</f>
        <v>7.2 - Town Planning and Building Regulations</v>
      </c>
      <c r="B34" s="460"/>
      <c r="C34" s="461"/>
      <c r="D34" s="462"/>
      <c r="E34" s="462"/>
      <c r="F34" s="462"/>
      <c r="G34" s="462"/>
      <c r="H34" s="462"/>
      <c r="I34" s="462"/>
      <c r="J34" s="52">
        <f t="shared" si="9"/>
        <v>0</v>
      </c>
      <c r="K34" s="52">
        <f t="shared" si="10"/>
        <v>0</v>
      </c>
      <c r="L34" s="462"/>
      <c r="M34" s="463"/>
    </row>
    <row r="35" spans="1:13" x14ac:dyDescent="0.3">
      <c r="A35" s="66" t="str">
        <f>'[2]Org structure'!E71</f>
        <v>7.3 - Project Management Unit</v>
      </c>
      <c r="B35" s="460"/>
      <c r="C35" s="461"/>
      <c r="D35" s="462"/>
      <c r="E35" s="462"/>
      <c r="F35" s="462"/>
      <c r="G35" s="462"/>
      <c r="H35" s="462"/>
      <c r="I35" s="462"/>
      <c r="J35" s="52">
        <f t="shared" si="9"/>
        <v>0</v>
      </c>
      <c r="K35" s="52">
        <f t="shared" si="10"/>
        <v>0</v>
      </c>
      <c r="L35" s="462"/>
      <c r="M35" s="463"/>
    </row>
    <row r="36" spans="1:13" x14ac:dyDescent="0.3">
      <c r="A36" s="235" t="str">
        <f>'[2]Org structure'!A9</f>
        <v>Vote 8 - Road Transport</v>
      </c>
      <c r="B36" s="460"/>
      <c r="C36" s="50">
        <f t="shared" ref="C36:I36" si="11">SUM(C37:C39)</f>
        <v>27416192</v>
      </c>
      <c r="D36" s="51">
        <f t="shared" si="11"/>
        <v>0</v>
      </c>
      <c r="E36" s="51">
        <f t="shared" si="11"/>
        <v>0</v>
      </c>
      <c r="F36" s="51">
        <f t="shared" si="11"/>
        <v>0</v>
      </c>
      <c r="G36" s="51">
        <f t="shared" si="11"/>
        <v>0</v>
      </c>
      <c r="H36" s="51">
        <f t="shared" si="11"/>
        <v>0</v>
      </c>
      <c r="I36" s="51">
        <f t="shared" si="11"/>
        <v>-9647517.9399999995</v>
      </c>
      <c r="J36" s="52">
        <f t="shared" si="9"/>
        <v>-9647517.9399999995</v>
      </c>
      <c r="K36" s="52">
        <f t="shared" si="10"/>
        <v>17768674.060000002</v>
      </c>
      <c r="L36" s="51">
        <f>SUM(L37:L39)</f>
        <v>17135820.230087802</v>
      </c>
      <c r="M36" s="459">
        <f>SUM(M37:M39)</f>
        <v>18061154.522512499</v>
      </c>
    </row>
    <row r="37" spans="1:13" x14ac:dyDescent="0.3">
      <c r="A37" s="66" t="str">
        <f>'[2]Org structure'!E80</f>
        <v>8.1 - Road and Traffic Regulations</v>
      </c>
      <c r="B37" s="460"/>
      <c r="C37" s="54">
        <v>27416192</v>
      </c>
      <c r="D37" s="462"/>
      <c r="E37" s="462"/>
      <c r="F37" s="462"/>
      <c r="G37" s="462"/>
      <c r="H37" s="462"/>
      <c r="I37" s="53">
        <f>-11158298+472673.3+1059638.76-21532</f>
        <v>-9647517.9399999995</v>
      </c>
      <c r="J37" s="52">
        <f t="shared" si="9"/>
        <v>-9647517.9399999995</v>
      </c>
      <c r="K37" s="52">
        <f t="shared" si="10"/>
        <v>17768674.060000002</v>
      </c>
      <c r="L37" s="462">
        <v>17135820.230087802</v>
      </c>
      <c r="M37" s="463">
        <v>18061154.522512499</v>
      </c>
    </row>
    <row r="38" spans="1:13" x14ac:dyDescent="0.3">
      <c r="A38" s="66" t="str">
        <f>'[2]Org structure'!E81</f>
        <v>8.2 - Roads</v>
      </c>
      <c r="B38" s="460"/>
      <c r="C38" s="461"/>
      <c r="D38" s="462"/>
      <c r="E38" s="462"/>
      <c r="F38" s="462"/>
      <c r="G38" s="462"/>
      <c r="H38" s="462"/>
      <c r="I38" s="462"/>
      <c r="J38" s="52">
        <f t="shared" si="9"/>
        <v>0</v>
      </c>
      <c r="K38" s="52">
        <f t="shared" si="10"/>
        <v>0</v>
      </c>
      <c r="L38" s="462"/>
      <c r="M38" s="463"/>
    </row>
    <row r="39" spans="1:13" x14ac:dyDescent="0.3">
      <c r="A39" s="66" t="str">
        <f>'[2]Org structure'!E82</f>
        <v>8.3 - Taxi Ranks</v>
      </c>
      <c r="B39" s="460"/>
      <c r="C39" s="461"/>
      <c r="D39" s="462"/>
      <c r="E39" s="462"/>
      <c r="F39" s="462"/>
      <c r="G39" s="462"/>
      <c r="H39" s="462"/>
      <c r="I39" s="462"/>
      <c r="J39" s="52">
        <f t="shared" si="9"/>
        <v>0</v>
      </c>
      <c r="K39" s="52">
        <f t="shared" si="10"/>
        <v>0</v>
      </c>
      <c r="L39" s="462"/>
      <c r="M39" s="463"/>
    </row>
    <row r="40" spans="1:13" x14ac:dyDescent="0.3">
      <c r="A40" s="235" t="str">
        <f>'[2]Org structure'!A10</f>
        <v>Vote 9 - Energy Sources</v>
      </c>
      <c r="B40" s="460"/>
      <c r="C40" s="50">
        <f t="shared" ref="C40:I40" si="12">SUM(C41:C42)</f>
        <v>33664837</v>
      </c>
      <c r="D40" s="51">
        <f t="shared" si="12"/>
        <v>0</v>
      </c>
      <c r="E40" s="51">
        <f t="shared" si="12"/>
        <v>0</v>
      </c>
      <c r="F40" s="51">
        <f t="shared" si="12"/>
        <v>0</v>
      </c>
      <c r="G40" s="51">
        <f t="shared" si="12"/>
        <v>0</v>
      </c>
      <c r="H40" s="51">
        <f t="shared" si="12"/>
        <v>0</v>
      </c>
      <c r="I40" s="51">
        <f t="shared" si="12"/>
        <v>-7178383.0330400001</v>
      </c>
      <c r="J40" s="52">
        <f t="shared" si="9"/>
        <v>-7178383.0330400001</v>
      </c>
      <c r="K40" s="52">
        <f t="shared" si="10"/>
        <v>26486453.966959998</v>
      </c>
      <c r="L40" s="51">
        <f>SUM(L41:L42)</f>
        <v>23638029.913544402</v>
      </c>
      <c r="M40" s="459">
        <f>SUM(M41:M42)</f>
        <v>24536483.528875802</v>
      </c>
    </row>
    <row r="41" spans="1:13" x14ac:dyDescent="0.3">
      <c r="A41" s="66" t="str">
        <f>'[2]Org structure'!E91</f>
        <v>9.1 - Electricity</v>
      </c>
      <c r="B41" s="460"/>
      <c r="C41" s="54">
        <f>28664837+5000000</f>
        <v>33664837</v>
      </c>
      <c r="D41" s="462"/>
      <c r="E41" s="462"/>
      <c r="F41" s="462"/>
      <c r="G41" s="462"/>
      <c r="H41" s="462"/>
      <c r="I41" s="53">
        <f>-12179230.03304+715847+4285000</f>
        <v>-7178383.0330400001</v>
      </c>
      <c r="J41" s="52">
        <f t="shared" si="9"/>
        <v>-7178383.0330400001</v>
      </c>
      <c r="K41" s="52">
        <f t="shared" si="10"/>
        <v>26486453.966959998</v>
      </c>
      <c r="L41" s="462">
        <v>23638029.913544402</v>
      </c>
      <c r="M41" s="463">
        <v>24536483.528875802</v>
      </c>
    </row>
    <row r="42" spans="1:13" x14ac:dyDescent="0.3">
      <c r="A42" s="66" t="str">
        <f>'[2]Org structure'!E92</f>
        <v>9.2 - Street Lighting</v>
      </c>
      <c r="B42" s="460"/>
      <c r="C42" s="461"/>
      <c r="D42" s="462"/>
      <c r="E42" s="462"/>
      <c r="F42" s="462"/>
      <c r="G42" s="462"/>
      <c r="H42" s="462"/>
      <c r="I42" s="462"/>
      <c r="J42" s="52">
        <f t="shared" si="9"/>
        <v>0</v>
      </c>
      <c r="K42" s="52">
        <f t="shared" si="10"/>
        <v>0</v>
      </c>
      <c r="L42" s="462"/>
      <c r="M42" s="463"/>
    </row>
    <row r="43" spans="1:13" x14ac:dyDescent="0.3">
      <c r="A43" s="235" t="str">
        <f>'[2]Org structure'!A11</f>
        <v>Vote 10 - Waste Water Management</v>
      </c>
      <c r="B43" s="460"/>
      <c r="C43" s="50">
        <f t="shared" ref="C43:I43" si="13">SUM(C44:C44)</f>
        <v>0</v>
      </c>
      <c r="D43" s="51">
        <f t="shared" si="13"/>
        <v>0</v>
      </c>
      <c r="E43" s="51">
        <f t="shared" si="13"/>
        <v>0</v>
      </c>
      <c r="F43" s="51">
        <f t="shared" si="13"/>
        <v>0</v>
      </c>
      <c r="G43" s="51">
        <f t="shared" si="13"/>
        <v>0</v>
      </c>
      <c r="H43" s="51">
        <f t="shared" si="13"/>
        <v>0</v>
      </c>
      <c r="I43" s="51">
        <f t="shared" si="13"/>
        <v>0</v>
      </c>
      <c r="J43" s="52">
        <f t="shared" si="9"/>
        <v>0</v>
      </c>
      <c r="K43" s="52">
        <f t="shared" si="10"/>
        <v>0</v>
      </c>
      <c r="L43" s="51">
        <f>SUM(L44:L44)</f>
        <v>0</v>
      </c>
      <c r="M43" s="459">
        <f>SUM(M44:M44)</f>
        <v>0</v>
      </c>
    </row>
    <row r="44" spans="1:13" x14ac:dyDescent="0.3">
      <c r="A44" s="66" t="str">
        <f>'[2]Org structure'!E102</f>
        <v>10.1 - Public Toilets</v>
      </c>
      <c r="B44" s="460"/>
      <c r="C44" s="461"/>
      <c r="D44" s="462"/>
      <c r="E44" s="462"/>
      <c r="F44" s="462"/>
      <c r="G44" s="462"/>
      <c r="H44" s="462"/>
      <c r="I44" s="462"/>
      <c r="J44" s="52">
        <f t="shared" si="9"/>
        <v>0</v>
      </c>
      <c r="K44" s="52">
        <f t="shared" si="10"/>
        <v>0</v>
      </c>
      <c r="L44" s="462"/>
      <c r="M44" s="463"/>
    </row>
    <row r="45" spans="1:13" x14ac:dyDescent="0.3">
      <c r="A45" s="235" t="str">
        <f>'[2]Org structure'!A12</f>
        <v>Vote 11 - Waste Management</v>
      </c>
      <c r="B45" s="460"/>
      <c r="C45" s="50">
        <f t="shared" ref="C45:I45" si="14">SUM(C46:C46)</f>
        <v>8672053</v>
      </c>
      <c r="D45" s="51">
        <f t="shared" si="14"/>
        <v>0</v>
      </c>
      <c r="E45" s="51">
        <f t="shared" si="14"/>
        <v>0</v>
      </c>
      <c r="F45" s="51">
        <f t="shared" si="14"/>
        <v>0</v>
      </c>
      <c r="G45" s="51">
        <f t="shared" si="14"/>
        <v>0</v>
      </c>
      <c r="H45" s="51">
        <f t="shared" si="14"/>
        <v>0</v>
      </c>
      <c r="I45" s="51">
        <f t="shared" si="14"/>
        <v>-2000000.0000000009</v>
      </c>
      <c r="J45" s="52">
        <f t="shared" si="9"/>
        <v>-2000000.0000000009</v>
      </c>
      <c r="K45" s="52">
        <f t="shared" si="10"/>
        <v>6672052.9999999991</v>
      </c>
      <c r="L45" s="51">
        <f>SUM(L46:L46)</f>
        <v>7032344.3411905598</v>
      </c>
      <c r="M45" s="459">
        <f>SUM(M46:M46)</f>
        <v>7412090.9356148504</v>
      </c>
    </row>
    <row r="46" spans="1:13" x14ac:dyDescent="0.3">
      <c r="A46" s="66" t="str">
        <f>'[2]Org structure'!E113</f>
        <v>11.1 - Solid Waste Removal</v>
      </c>
      <c r="B46" s="460"/>
      <c r="C46" s="54">
        <v>8672053</v>
      </c>
      <c r="D46" s="462"/>
      <c r="E46" s="462"/>
      <c r="F46" s="462"/>
      <c r="G46" s="462"/>
      <c r="H46" s="462"/>
      <c r="I46" s="462">
        <v>-2000000.0000000009</v>
      </c>
      <c r="J46" s="52">
        <f t="shared" si="9"/>
        <v>-2000000.0000000009</v>
      </c>
      <c r="K46" s="52">
        <f t="shared" si="10"/>
        <v>6672052.9999999991</v>
      </c>
      <c r="L46" s="462">
        <v>7032344.3411905598</v>
      </c>
      <c r="M46" s="463">
        <v>7412090.9356148504</v>
      </c>
    </row>
    <row r="47" spans="1:13" x14ac:dyDescent="0.3">
      <c r="A47" s="235" t="str">
        <f>'[2]Org structure'!A13</f>
        <v>Vote 12 - [NAME OF VOTE 12]</v>
      </c>
      <c r="B47" s="460"/>
      <c r="C47" s="50">
        <f t="shared" ref="C47:I47" si="15">SUM(C48:C48)</f>
        <v>0</v>
      </c>
      <c r="D47" s="51">
        <f t="shared" si="15"/>
        <v>0</v>
      </c>
      <c r="E47" s="51">
        <f t="shared" si="15"/>
        <v>0</v>
      </c>
      <c r="F47" s="51">
        <f t="shared" si="15"/>
        <v>0</v>
      </c>
      <c r="G47" s="51">
        <f t="shared" si="15"/>
        <v>0</v>
      </c>
      <c r="H47" s="51">
        <f t="shared" si="15"/>
        <v>0</v>
      </c>
      <c r="I47" s="51">
        <f t="shared" si="15"/>
        <v>0</v>
      </c>
      <c r="J47" s="52">
        <f t="shared" si="9"/>
        <v>0</v>
      </c>
      <c r="K47" s="52">
        <f t="shared" si="10"/>
        <v>0</v>
      </c>
      <c r="L47" s="51">
        <f>SUM(L48:L48)</f>
        <v>0</v>
      </c>
      <c r="M47" s="459">
        <f>SUM(M48:M48)</f>
        <v>0</v>
      </c>
    </row>
    <row r="48" spans="1:13" x14ac:dyDescent="0.3">
      <c r="A48" s="66" t="str">
        <f>'[2]Org structure'!E124</f>
        <v>12.1 - [Name of sub-vote]</v>
      </c>
      <c r="B48" s="460"/>
      <c r="C48" s="461"/>
      <c r="D48" s="462"/>
      <c r="E48" s="462"/>
      <c r="F48" s="462"/>
      <c r="G48" s="462"/>
      <c r="H48" s="462"/>
      <c r="I48" s="462"/>
      <c r="J48" s="52">
        <f t="shared" si="9"/>
        <v>0</v>
      </c>
      <c r="K48" s="52">
        <f t="shared" si="10"/>
        <v>0</v>
      </c>
      <c r="L48" s="462"/>
      <c r="M48" s="463"/>
    </row>
    <row r="49" spans="1:13" x14ac:dyDescent="0.3">
      <c r="A49" s="235" t="str">
        <f>'[2]Org structure'!A14</f>
        <v>Vote 13 - [NAME OF VOTE 13]</v>
      </c>
      <c r="B49" s="460"/>
      <c r="C49" s="50">
        <f t="shared" ref="C49:I49" si="16">SUM(C50:C50)</f>
        <v>0</v>
      </c>
      <c r="D49" s="51">
        <f t="shared" si="16"/>
        <v>0</v>
      </c>
      <c r="E49" s="51">
        <f t="shared" si="16"/>
        <v>0</v>
      </c>
      <c r="F49" s="51">
        <f t="shared" si="16"/>
        <v>0</v>
      </c>
      <c r="G49" s="51">
        <f t="shared" si="16"/>
        <v>0</v>
      </c>
      <c r="H49" s="51">
        <f t="shared" si="16"/>
        <v>0</v>
      </c>
      <c r="I49" s="51">
        <f t="shared" si="16"/>
        <v>0</v>
      </c>
      <c r="J49" s="52">
        <f t="shared" ref="J49:J54" si="17">SUM(E49:I49)</f>
        <v>0</v>
      </c>
      <c r="K49" s="52">
        <f t="shared" ref="K49:K54" si="18">IF(D49=0,C49+J49,D49+J49)</f>
        <v>0</v>
      </c>
      <c r="L49" s="51">
        <f>SUM(L50:L50)</f>
        <v>0</v>
      </c>
      <c r="M49" s="459">
        <f>SUM(M50:M50)</f>
        <v>0</v>
      </c>
    </row>
    <row r="50" spans="1:13" x14ac:dyDescent="0.3">
      <c r="A50" s="66" t="str">
        <f>'[2]Org structure'!E135</f>
        <v>13.1 - [Name of sub-vote]</v>
      </c>
      <c r="B50" s="460"/>
      <c r="C50" s="461"/>
      <c r="D50" s="462"/>
      <c r="E50" s="462"/>
      <c r="F50" s="462"/>
      <c r="G50" s="462"/>
      <c r="H50" s="462"/>
      <c r="I50" s="462"/>
      <c r="J50" s="52">
        <f t="shared" si="17"/>
        <v>0</v>
      </c>
      <c r="K50" s="52">
        <f t="shared" si="18"/>
        <v>0</v>
      </c>
      <c r="L50" s="462"/>
      <c r="M50" s="463"/>
    </row>
    <row r="51" spans="1:13" x14ac:dyDescent="0.3">
      <c r="A51" s="235" t="str">
        <f>'[2]Org structure'!A15</f>
        <v>Vote 14 - [NAME OF VOTE 14]</v>
      </c>
      <c r="B51" s="460"/>
      <c r="C51" s="50">
        <f t="shared" ref="C51:I51" si="19">SUM(C52:C52)</f>
        <v>0</v>
      </c>
      <c r="D51" s="51">
        <f t="shared" si="19"/>
        <v>0</v>
      </c>
      <c r="E51" s="51">
        <f t="shared" si="19"/>
        <v>0</v>
      </c>
      <c r="F51" s="51">
        <f t="shared" si="19"/>
        <v>0</v>
      </c>
      <c r="G51" s="51">
        <f t="shared" si="19"/>
        <v>0</v>
      </c>
      <c r="H51" s="51">
        <f t="shared" si="19"/>
        <v>0</v>
      </c>
      <c r="I51" s="51">
        <f t="shared" si="19"/>
        <v>0</v>
      </c>
      <c r="J51" s="52">
        <f t="shared" si="17"/>
        <v>0</v>
      </c>
      <c r="K51" s="52">
        <f t="shared" si="18"/>
        <v>0</v>
      </c>
      <c r="L51" s="51">
        <f>SUM(L52:L52)</f>
        <v>0</v>
      </c>
      <c r="M51" s="459">
        <f>SUM(M52:M52)</f>
        <v>0</v>
      </c>
    </row>
    <row r="52" spans="1:13" x14ac:dyDescent="0.3">
      <c r="A52" s="66" t="str">
        <f>'[2]Org structure'!E146</f>
        <v>14.1 - [Name of sub-vote]</v>
      </c>
      <c r="B52" s="460"/>
      <c r="C52" s="461"/>
      <c r="D52" s="462"/>
      <c r="E52" s="462"/>
      <c r="F52" s="462"/>
      <c r="G52" s="462"/>
      <c r="H52" s="462"/>
      <c r="I52" s="462"/>
      <c r="J52" s="52">
        <f t="shared" si="17"/>
        <v>0</v>
      </c>
      <c r="K52" s="52">
        <f t="shared" si="18"/>
        <v>0</v>
      </c>
      <c r="L52" s="462"/>
      <c r="M52" s="463"/>
    </row>
    <row r="53" spans="1:13" x14ac:dyDescent="0.3">
      <c r="A53" s="235" t="str">
        <f>'[2]Org structure'!A16</f>
        <v>Vote 15 - [NAME OF VOTE 15]</v>
      </c>
      <c r="B53" s="460"/>
      <c r="C53" s="50">
        <f t="shared" ref="C53:I53" si="20">SUM(C54:C54)</f>
        <v>0</v>
      </c>
      <c r="D53" s="51">
        <f t="shared" si="20"/>
        <v>0</v>
      </c>
      <c r="E53" s="51">
        <f t="shared" si="20"/>
        <v>0</v>
      </c>
      <c r="F53" s="51">
        <f t="shared" si="20"/>
        <v>0</v>
      </c>
      <c r="G53" s="51">
        <f t="shared" si="20"/>
        <v>0</v>
      </c>
      <c r="H53" s="51">
        <f t="shared" si="20"/>
        <v>0</v>
      </c>
      <c r="I53" s="51">
        <f t="shared" si="20"/>
        <v>0</v>
      </c>
      <c r="J53" s="52">
        <f t="shared" si="17"/>
        <v>0</v>
      </c>
      <c r="K53" s="52">
        <f t="shared" si="18"/>
        <v>0</v>
      </c>
      <c r="L53" s="51">
        <f>SUM(L54:L54)</f>
        <v>0</v>
      </c>
      <c r="M53" s="459">
        <f>SUM(M54:M54)</f>
        <v>0</v>
      </c>
    </row>
    <row r="54" spans="1:13" x14ac:dyDescent="0.3">
      <c r="A54" s="66" t="str">
        <f>'[2]Org structure'!E157</f>
        <v>15.1 - [Name of sub-vote]</v>
      </c>
      <c r="B54" s="460"/>
      <c r="C54" s="461"/>
      <c r="D54" s="462"/>
      <c r="E54" s="462"/>
      <c r="F54" s="462"/>
      <c r="G54" s="462"/>
      <c r="H54" s="462"/>
      <c r="I54" s="462"/>
      <c r="J54" s="52">
        <f t="shared" si="17"/>
        <v>0</v>
      </c>
      <c r="K54" s="52">
        <f t="shared" si="18"/>
        <v>0</v>
      </c>
      <c r="L54" s="462"/>
      <c r="M54" s="463"/>
    </row>
    <row r="55" spans="1:13" x14ac:dyDescent="0.3">
      <c r="A55" s="56" t="s">
        <v>388</v>
      </c>
      <c r="B55" s="454">
        <v>2</v>
      </c>
      <c r="C55" s="464">
        <f t="shared" ref="C55:I55" si="21">C7+C10+C21+C23+C28+C30+C32+C36+C40+C43+C45+C47+C49+C51+C53</f>
        <v>465142443</v>
      </c>
      <c r="D55" s="465">
        <f t="shared" si="21"/>
        <v>0</v>
      </c>
      <c r="E55" s="465">
        <f t="shared" si="21"/>
        <v>0</v>
      </c>
      <c r="F55" s="465">
        <f t="shared" si="21"/>
        <v>0</v>
      </c>
      <c r="G55" s="465">
        <f t="shared" si="21"/>
        <v>0</v>
      </c>
      <c r="H55" s="465">
        <f t="shared" si="21"/>
        <v>0</v>
      </c>
      <c r="I55" s="465">
        <f t="shared" si="21"/>
        <v>-39298745.657839999</v>
      </c>
      <c r="J55" s="52">
        <f>SUM(E55:I55)</f>
        <v>-39298745.657839999</v>
      </c>
      <c r="K55" s="52">
        <f>IF(D55=0,C55+J55,D55+J55)</f>
        <v>425843697.34215999</v>
      </c>
      <c r="L55" s="465">
        <f>L7+L10+L21+L23+L28+L30+L32+L36+L40+L43+L45+L47+L49+L51+L53</f>
        <v>440647124.28060484</v>
      </c>
      <c r="M55" s="466">
        <f>M7+M10+M21+M23+M28+M30+M32+M36+M40+M43+M45+M47+M49+M51+M53</f>
        <v>470929116.99175715</v>
      </c>
    </row>
    <row r="56" spans="1:13" ht="5.25" customHeight="1" x14ac:dyDescent="0.3">
      <c r="A56" s="467"/>
      <c r="B56" s="468"/>
      <c r="C56" s="469"/>
      <c r="D56" s="470"/>
      <c r="E56" s="470"/>
      <c r="F56" s="470"/>
      <c r="G56" s="470"/>
      <c r="H56" s="470"/>
      <c r="I56" s="470"/>
      <c r="J56" s="470"/>
      <c r="K56" s="470"/>
      <c r="L56" s="470"/>
      <c r="M56" s="471"/>
    </row>
    <row r="57" spans="1:13" x14ac:dyDescent="0.3">
      <c r="A57" s="472" t="s">
        <v>389</v>
      </c>
      <c r="B57" s="473">
        <v>1</v>
      </c>
      <c r="C57" s="474"/>
      <c r="D57" s="475"/>
      <c r="E57" s="475"/>
      <c r="F57" s="475"/>
      <c r="G57" s="475"/>
      <c r="H57" s="475"/>
      <c r="I57" s="475"/>
      <c r="J57" s="475"/>
      <c r="K57" s="475"/>
      <c r="L57" s="475"/>
      <c r="M57" s="476"/>
    </row>
    <row r="58" spans="1:13" x14ac:dyDescent="0.3">
      <c r="A58" s="235" t="str">
        <f t="shared" ref="A58:A95" si="22">A7</f>
        <v>Vote 1 - Executive &amp; Council</v>
      </c>
      <c r="B58" s="69"/>
      <c r="C58" s="50">
        <f t="shared" ref="C58:I58" si="23">SUM(C59:C60)</f>
        <v>55042807</v>
      </c>
      <c r="D58" s="51">
        <f t="shared" si="23"/>
        <v>0</v>
      </c>
      <c r="E58" s="51">
        <f t="shared" si="23"/>
        <v>0</v>
      </c>
      <c r="F58" s="51">
        <f t="shared" si="23"/>
        <v>0</v>
      </c>
      <c r="G58" s="51">
        <f t="shared" si="23"/>
        <v>0</v>
      </c>
      <c r="H58" s="51">
        <f t="shared" si="23"/>
        <v>0</v>
      </c>
      <c r="I58" s="51">
        <f t="shared" si="23"/>
        <v>4471678.8900000006</v>
      </c>
      <c r="J58" s="52">
        <f>SUM(E58:I58)</f>
        <v>4471678.8900000006</v>
      </c>
      <c r="K58" s="52">
        <f>IF(D58=0,C58+J58,D58+J58)</f>
        <v>59514485.890000001</v>
      </c>
      <c r="L58" s="51">
        <f>SUM(L59:L60)</f>
        <v>57809855.583521083</v>
      </c>
      <c r="M58" s="459">
        <f>SUM(M59:M60)</f>
        <v>61061787.877573863</v>
      </c>
    </row>
    <row r="59" spans="1:13" x14ac:dyDescent="0.3">
      <c r="A59" s="66" t="str">
        <f t="shared" si="22"/>
        <v>1.1 - Mayor and Council</v>
      </c>
      <c r="B59" s="460"/>
      <c r="C59" s="54">
        <v>43765407</v>
      </c>
      <c r="D59" s="53"/>
      <c r="E59" s="53"/>
      <c r="F59" s="53"/>
      <c r="G59" s="53"/>
      <c r="H59" s="53"/>
      <c r="I59" s="53">
        <f>5731480.68-759326.57</f>
        <v>4972154.1099999994</v>
      </c>
      <c r="J59" s="52">
        <f t="shared" ref="J59:J82" si="24">SUM(E59:I59)</f>
        <v>4972154.1099999994</v>
      </c>
      <c r="K59" s="52">
        <f t="shared" ref="K59:K82" si="25">IF(D59=0,C59+J59,D59+J59)</f>
        <v>48737561.109999999</v>
      </c>
      <c r="L59" s="53">
        <v>46191460.342784166</v>
      </c>
      <c r="M59" s="477">
        <v>48752885.765265882</v>
      </c>
    </row>
    <row r="60" spans="1:13" x14ac:dyDescent="0.3">
      <c r="A60" s="66" t="str">
        <f t="shared" si="22"/>
        <v>1.2 - Municipal Manager</v>
      </c>
      <c r="B60" s="460"/>
      <c r="C60" s="54">
        <v>11277400</v>
      </c>
      <c r="D60" s="53"/>
      <c r="E60" s="53"/>
      <c r="F60" s="53"/>
      <c r="G60" s="53"/>
      <c r="H60" s="53"/>
      <c r="I60" s="53">
        <f>-341076.649999999-46441.68-112956.89</f>
        <v>-500475.21999999898</v>
      </c>
      <c r="J60" s="52">
        <f t="shared" si="24"/>
        <v>-500475.21999999898</v>
      </c>
      <c r="K60" s="52">
        <f t="shared" si="25"/>
        <v>10776924.780000001</v>
      </c>
      <c r="L60" s="53">
        <v>11618395.24073692</v>
      </c>
      <c r="M60" s="477">
        <v>12308902.112307979</v>
      </c>
    </row>
    <row r="61" spans="1:13" x14ac:dyDescent="0.3">
      <c r="A61" s="235" t="str">
        <f t="shared" si="22"/>
        <v>Vote 2 - Finance and Administration</v>
      </c>
      <c r="B61" s="458"/>
      <c r="C61" s="50">
        <f t="shared" ref="C61:I61" si="26">SUM(C62:C71)</f>
        <v>98346377</v>
      </c>
      <c r="D61" s="51">
        <f t="shared" si="26"/>
        <v>0</v>
      </c>
      <c r="E61" s="51">
        <f t="shared" si="26"/>
        <v>0</v>
      </c>
      <c r="F61" s="51">
        <f t="shared" si="26"/>
        <v>0</v>
      </c>
      <c r="G61" s="51">
        <f t="shared" si="26"/>
        <v>0</v>
      </c>
      <c r="H61" s="51">
        <f t="shared" si="26"/>
        <v>0</v>
      </c>
      <c r="I61" s="51">
        <f t="shared" si="26"/>
        <v>6207850.8800000008</v>
      </c>
      <c r="J61" s="52">
        <f t="shared" si="24"/>
        <v>6207850.8800000008</v>
      </c>
      <c r="K61" s="52">
        <f t="shared" si="25"/>
        <v>104554227.88</v>
      </c>
      <c r="L61" s="51">
        <f>SUM(L62:L71)</f>
        <v>102921450.08340442</v>
      </c>
      <c r="M61" s="459">
        <f>SUM(M62:M71)</f>
        <v>108999378.89464387</v>
      </c>
    </row>
    <row r="62" spans="1:13" x14ac:dyDescent="0.3">
      <c r="A62" s="66" t="str">
        <f t="shared" si="22"/>
        <v>2.1 - Administrative and Corporate Support</v>
      </c>
      <c r="B62" s="460"/>
      <c r="C62" s="54">
        <v>20840040</v>
      </c>
      <c r="D62" s="53"/>
      <c r="E62" s="53"/>
      <c r="F62" s="53"/>
      <c r="G62" s="53"/>
      <c r="H62" s="53"/>
      <c r="I62" s="53">
        <f>-100000+1959673.47-50000</f>
        <v>1809673.47</v>
      </c>
      <c r="J62" s="52">
        <f t="shared" si="24"/>
        <v>1809673.47</v>
      </c>
      <c r="K62" s="52">
        <f t="shared" si="25"/>
        <v>22649713.469999999</v>
      </c>
      <c r="L62" s="53">
        <v>21951894.747393675</v>
      </c>
      <c r="M62" s="477">
        <v>23235537.967310976</v>
      </c>
    </row>
    <row r="63" spans="1:13" x14ac:dyDescent="0.3">
      <c r="A63" s="66" t="str">
        <f t="shared" si="22"/>
        <v>2.2 - Asset Management</v>
      </c>
      <c r="B63" s="460"/>
      <c r="C63" s="54">
        <v>5306062</v>
      </c>
      <c r="D63" s="53"/>
      <c r="E63" s="53"/>
      <c r="F63" s="53"/>
      <c r="G63" s="53"/>
      <c r="H63" s="53"/>
      <c r="I63" s="53">
        <v>-395447.71</v>
      </c>
      <c r="J63" s="52">
        <f t="shared" si="24"/>
        <v>-395447.71</v>
      </c>
      <c r="K63" s="52">
        <f t="shared" si="25"/>
        <v>4910614.29</v>
      </c>
      <c r="L63" s="53">
        <v>5644395.711158799</v>
      </c>
      <c r="M63" s="477">
        <v>6004573.8708550259</v>
      </c>
    </row>
    <row r="64" spans="1:13" x14ac:dyDescent="0.3">
      <c r="A64" s="66" t="str">
        <f t="shared" si="22"/>
        <v>2.3 - Budget and Treasury Office</v>
      </c>
      <c r="B64" s="460"/>
      <c r="C64" s="54">
        <v>32503101</v>
      </c>
      <c r="D64" s="53"/>
      <c r="E64" s="53"/>
      <c r="F64" s="53"/>
      <c r="G64" s="53"/>
      <c r="H64" s="53"/>
      <c r="I64" s="53">
        <f>8088925.97-983600.16</f>
        <v>7105325.8099999996</v>
      </c>
      <c r="J64" s="52">
        <f t="shared" si="24"/>
        <v>7105325.8099999996</v>
      </c>
      <c r="K64" s="52">
        <f t="shared" si="25"/>
        <v>39608426.810000002</v>
      </c>
      <c r="L64" s="53">
        <v>34317463.083497599</v>
      </c>
      <c r="M64" s="477">
        <v>36241885.272955239</v>
      </c>
    </row>
    <row r="65" spans="1:13" x14ac:dyDescent="0.3">
      <c r="A65" s="66" t="str">
        <f t="shared" si="22"/>
        <v>2.4 - Human Resource</v>
      </c>
      <c r="B65" s="460"/>
      <c r="C65" s="54">
        <v>8903613</v>
      </c>
      <c r="D65" s="53"/>
      <c r="E65" s="53"/>
      <c r="F65" s="53"/>
      <c r="G65" s="53"/>
      <c r="H65" s="53"/>
      <c r="I65" s="53">
        <f>50000-330942.67+298000</f>
        <v>17057.330000000016</v>
      </c>
      <c r="J65" s="52">
        <f t="shared" si="24"/>
        <v>17057.330000000016</v>
      </c>
      <c r="K65" s="52">
        <f t="shared" si="25"/>
        <v>8920670.3300000001</v>
      </c>
      <c r="L65" s="53">
        <v>9420724.3941482417</v>
      </c>
      <c r="M65" s="477">
        <v>9968265.9910402447</v>
      </c>
    </row>
    <row r="66" spans="1:13" x14ac:dyDescent="0.3">
      <c r="A66" s="66" t="str">
        <f t="shared" si="22"/>
        <v>2.5 - Information Technology</v>
      </c>
      <c r="B66" s="460"/>
      <c r="C66" s="54">
        <v>6587608</v>
      </c>
      <c r="D66" s="53"/>
      <c r="E66" s="53"/>
      <c r="F66" s="53"/>
      <c r="G66" s="53"/>
      <c r="H66" s="53"/>
      <c r="I66" s="53">
        <v>-549725.51</v>
      </c>
      <c r="J66" s="52">
        <f t="shared" si="24"/>
        <v>-549725.51</v>
      </c>
      <c r="K66" s="52">
        <f t="shared" si="25"/>
        <v>6037882.4900000002</v>
      </c>
      <c r="L66" s="53">
        <v>6972965.2414940502</v>
      </c>
      <c r="M66" s="477">
        <v>7381175.9998330548</v>
      </c>
    </row>
    <row r="67" spans="1:13" x14ac:dyDescent="0.3">
      <c r="A67" s="66" t="str">
        <f t="shared" si="22"/>
        <v>2.6 - Legal Services</v>
      </c>
      <c r="B67" s="460"/>
      <c r="C67" s="54">
        <v>6674848</v>
      </c>
      <c r="D67" s="53"/>
      <c r="E67" s="53"/>
      <c r="F67" s="53"/>
      <c r="G67" s="53"/>
      <c r="H67" s="53"/>
      <c r="I67" s="53">
        <f>-1000000+1683518.99</f>
        <v>683518.99</v>
      </c>
      <c r="J67" s="52">
        <f t="shared" si="24"/>
        <v>683518.99</v>
      </c>
      <c r="K67" s="52">
        <f t="shared" si="25"/>
        <v>7358366.9900000002</v>
      </c>
      <c r="L67" s="53">
        <v>7026847.4224300794</v>
      </c>
      <c r="M67" s="477">
        <v>7433890.6558597852</v>
      </c>
    </row>
    <row r="68" spans="1:13" x14ac:dyDescent="0.3">
      <c r="A68" s="66" t="str">
        <f t="shared" si="22"/>
        <v>2.7 - Customer Relation and Coordination</v>
      </c>
      <c r="B68" s="460"/>
      <c r="C68" s="54">
        <v>4059673</v>
      </c>
      <c r="D68" s="53"/>
      <c r="E68" s="53"/>
      <c r="F68" s="53"/>
      <c r="G68" s="53"/>
      <c r="H68" s="53"/>
      <c r="I68" s="53">
        <v>-681270.97</v>
      </c>
      <c r="J68" s="52">
        <f t="shared" si="24"/>
        <v>-681270.97</v>
      </c>
      <c r="K68" s="52">
        <f t="shared" si="25"/>
        <v>3378402.0300000003</v>
      </c>
      <c r="L68" s="53">
        <v>3858914.9893886773</v>
      </c>
      <c r="M68" s="477">
        <v>4091562.665129628</v>
      </c>
    </row>
    <row r="69" spans="1:13" x14ac:dyDescent="0.3">
      <c r="A69" s="66" t="str">
        <f t="shared" si="22"/>
        <v>2.8 - Property Services</v>
      </c>
      <c r="B69" s="460"/>
      <c r="C69" s="54">
        <v>10036054</v>
      </c>
      <c r="D69" s="53"/>
      <c r="E69" s="53"/>
      <c r="F69" s="53"/>
      <c r="G69" s="53"/>
      <c r="H69" s="53"/>
      <c r="I69" s="53">
        <f>-600000-444517.65-362395.71</f>
        <v>-1406913.36</v>
      </c>
      <c r="J69" s="52">
        <f t="shared" si="24"/>
        <v>-1406913.36</v>
      </c>
      <c r="K69" s="52">
        <f t="shared" si="25"/>
        <v>8629140.6400000006</v>
      </c>
      <c r="L69" s="53">
        <v>10061998.366842639</v>
      </c>
      <c r="M69" s="477">
        <v>10729775.343839342</v>
      </c>
    </row>
    <row r="70" spans="1:13" x14ac:dyDescent="0.3">
      <c r="A70" s="66" t="str">
        <f t="shared" si="22"/>
        <v>2.8 - Property Services</v>
      </c>
      <c r="B70" s="460"/>
      <c r="C70" s="54">
        <v>1029647</v>
      </c>
      <c r="D70" s="53"/>
      <c r="E70" s="53"/>
      <c r="F70" s="53"/>
      <c r="G70" s="53"/>
      <c r="H70" s="53"/>
      <c r="I70" s="53">
        <v>-22788.959999999999</v>
      </c>
      <c r="J70" s="52">
        <f t="shared" si="24"/>
        <v>-22788.959999999999</v>
      </c>
      <c r="K70" s="52">
        <f t="shared" si="25"/>
        <v>1006858.04</v>
      </c>
      <c r="L70" s="53">
        <v>1096301.8648089499</v>
      </c>
      <c r="M70" s="477">
        <v>1167318.9827833273</v>
      </c>
    </row>
    <row r="71" spans="1:13" x14ac:dyDescent="0.3">
      <c r="A71" s="66" t="str">
        <f t="shared" si="22"/>
        <v>2.10 - Supply Chain Management</v>
      </c>
      <c r="B71" s="460"/>
      <c r="C71" s="54">
        <v>2405731</v>
      </c>
      <c r="D71" s="53"/>
      <c r="E71" s="53"/>
      <c r="F71" s="53"/>
      <c r="G71" s="53"/>
      <c r="H71" s="53"/>
      <c r="I71" s="53">
        <v>-351578.21</v>
      </c>
      <c r="J71" s="52">
        <f t="shared" si="24"/>
        <v>-351578.21</v>
      </c>
      <c r="K71" s="52">
        <f t="shared" si="25"/>
        <v>2054152.79</v>
      </c>
      <c r="L71" s="53">
        <v>2569944.2622417202</v>
      </c>
      <c r="M71" s="477">
        <v>2745392.1450372352</v>
      </c>
    </row>
    <row r="72" spans="1:13" x14ac:dyDescent="0.3">
      <c r="A72" s="235" t="str">
        <f t="shared" si="22"/>
        <v>Vote 3 - Internal Audit</v>
      </c>
      <c r="B72" s="458"/>
      <c r="C72" s="50">
        <f t="shared" ref="C72:I72" si="27">SUM(C73:C73)</f>
        <v>2626731</v>
      </c>
      <c r="D72" s="51">
        <f t="shared" si="27"/>
        <v>0</v>
      </c>
      <c r="E72" s="51">
        <f t="shared" si="27"/>
        <v>0</v>
      </c>
      <c r="F72" s="51">
        <f t="shared" si="27"/>
        <v>0</v>
      </c>
      <c r="G72" s="51">
        <f t="shared" si="27"/>
        <v>0</v>
      </c>
      <c r="H72" s="51">
        <f t="shared" si="27"/>
        <v>0</v>
      </c>
      <c r="I72" s="51">
        <f t="shared" si="27"/>
        <v>0</v>
      </c>
      <c r="J72" s="52">
        <f t="shared" si="24"/>
        <v>0</v>
      </c>
      <c r="K72" s="52">
        <f t="shared" si="25"/>
        <v>2626731</v>
      </c>
      <c r="L72" s="51">
        <f>SUM(L73:L73)</f>
        <v>2792493.1093887901</v>
      </c>
      <c r="M72" s="459">
        <f>SUM(M73:M73)</f>
        <v>2968857.2825553967</v>
      </c>
    </row>
    <row r="73" spans="1:13" x14ac:dyDescent="0.3">
      <c r="A73" s="66" t="str">
        <f t="shared" si="22"/>
        <v>3.1 - Governance Function</v>
      </c>
      <c r="B73" s="460"/>
      <c r="C73" s="54">
        <v>2626731</v>
      </c>
      <c r="D73" s="53"/>
      <c r="E73" s="53"/>
      <c r="F73" s="53"/>
      <c r="G73" s="53"/>
      <c r="H73" s="53"/>
      <c r="I73" s="53">
        <v>0</v>
      </c>
      <c r="J73" s="52">
        <f t="shared" si="24"/>
        <v>0</v>
      </c>
      <c r="K73" s="52">
        <f t="shared" si="25"/>
        <v>2626731</v>
      </c>
      <c r="L73" s="53">
        <v>2792493.1093887901</v>
      </c>
      <c r="M73" s="477">
        <v>2968857.2825553967</v>
      </c>
    </row>
    <row r="74" spans="1:13" x14ac:dyDescent="0.3">
      <c r="A74" s="235" t="str">
        <f t="shared" si="22"/>
        <v>Vote 4 - Community and Public Safety</v>
      </c>
      <c r="B74" s="458"/>
      <c r="C74" s="50">
        <f t="shared" ref="C74:I74" si="28">SUM(C75:C78)</f>
        <v>10102909</v>
      </c>
      <c r="D74" s="51">
        <f t="shared" si="28"/>
        <v>0</v>
      </c>
      <c r="E74" s="51">
        <f t="shared" si="28"/>
        <v>0</v>
      </c>
      <c r="F74" s="51">
        <f t="shared" si="28"/>
        <v>0</v>
      </c>
      <c r="G74" s="51">
        <f t="shared" si="28"/>
        <v>0</v>
      </c>
      <c r="H74" s="51">
        <f t="shared" si="28"/>
        <v>0</v>
      </c>
      <c r="I74" s="51">
        <f t="shared" si="28"/>
        <v>-820689.68000000017</v>
      </c>
      <c r="J74" s="52">
        <f t="shared" si="24"/>
        <v>-820689.68000000017</v>
      </c>
      <c r="K74" s="52">
        <f t="shared" si="25"/>
        <v>9282219.3200000003</v>
      </c>
      <c r="L74" s="51">
        <f>SUM(L75:L78)</f>
        <v>6685613.7979259361</v>
      </c>
      <c r="M74" s="459">
        <f>SUM(M75:M78)</f>
        <v>7330516.3680212004</v>
      </c>
    </row>
    <row r="75" spans="1:13" x14ac:dyDescent="0.3">
      <c r="A75" s="66" t="str">
        <f t="shared" si="22"/>
        <v>4.1 - Cemetries and crematoriums</v>
      </c>
      <c r="B75" s="460"/>
      <c r="C75" s="54">
        <v>290922</v>
      </c>
      <c r="D75" s="53"/>
      <c r="E75" s="53"/>
      <c r="F75" s="53"/>
      <c r="G75" s="53"/>
      <c r="H75" s="53"/>
      <c r="I75" s="53">
        <v>-290922</v>
      </c>
      <c r="J75" s="52">
        <f t="shared" si="24"/>
        <v>-290922</v>
      </c>
      <c r="K75" s="52">
        <f t="shared" si="25"/>
        <v>0</v>
      </c>
      <c r="L75" s="53">
        <v>310113.85167215997</v>
      </c>
      <c r="M75" s="477">
        <v>330582.89467955666</v>
      </c>
    </row>
    <row r="76" spans="1:13" x14ac:dyDescent="0.3">
      <c r="A76" s="66" t="str">
        <f t="shared" si="22"/>
        <v>4.2 - Community halls and Facilities</v>
      </c>
      <c r="B76" s="460"/>
      <c r="C76" s="54">
        <v>5551246</v>
      </c>
      <c r="D76" s="53"/>
      <c r="E76" s="53"/>
      <c r="F76" s="53"/>
      <c r="G76" s="53"/>
      <c r="H76" s="53"/>
      <c r="I76" s="53">
        <f>-1000000-74657.35-189725.97</f>
        <v>-1264383.32</v>
      </c>
      <c r="J76" s="52">
        <f t="shared" si="24"/>
        <v>-1264383.32</v>
      </c>
      <c r="K76" s="52">
        <f t="shared" si="25"/>
        <v>4286862.68</v>
      </c>
      <c r="L76" s="53">
        <v>1862282.2757314527</v>
      </c>
      <c r="M76" s="477">
        <v>2190892.0459729773</v>
      </c>
    </row>
    <row r="77" spans="1:13" x14ac:dyDescent="0.3">
      <c r="A77" s="66" t="str">
        <f t="shared" si="22"/>
        <v>4.3 - Disaster Management</v>
      </c>
      <c r="B77" s="460"/>
      <c r="C77" s="54">
        <v>1755688</v>
      </c>
      <c r="D77" s="53"/>
      <c r="E77" s="53"/>
      <c r="F77" s="53"/>
      <c r="G77" s="53"/>
      <c r="H77" s="53"/>
      <c r="I77" s="53">
        <v>-14411.33</v>
      </c>
      <c r="J77" s="52">
        <f t="shared" si="24"/>
        <v>-14411.33</v>
      </c>
      <c r="K77" s="52">
        <f t="shared" si="25"/>
        <v>1741276.67</v>
      </c>
      <c r="L77" s="53">
        <v>1868330.7796192598</v>
      </c>
      <c r="M77" s="477">
        <v>1988287.0541299498</v>
      </c>
    </row>
    <row r="78" spans="1:13" x14ac:dyDescent="0.3">
      <c r="A78" s="66" t="str">
        <f t="shared" si="22"/>
        <v>4.4 - Libraries and Archives</v>
      </c>
      <c r="B78" s="460"/>
      <c r="C78" s="54">
        <v>2505053</v>
      </c>
      <c r="D78" s="53"/>
      <c r="E78" s="53"/>
      <c r="F78" s="53"/>
      <c r="G78" s="53"/>
      <c r="H78" s="53"/>
      <c r="I78" s="53">
        <f>-25000+864546.73-90519.76</f>
        <v>749026.97</v>
      </c>
      <c r="J78" s="52">
        <f t="shared" si="24"/>
        <v>749026.97</v>
      </c>
      <c r="K78" s="52">
        <f t="shared" si="25"/>
        <v>3254079.9699999997</v>
      </c>
      <c r="L78" s="53">
        <v>2644886.8909030631</v>
      </c>
      <c r="M78" s="477">
        <v>2820754.3732387172</v>
      </c>
    </row>
    <row r="79" spans="1:13" x14ac:dyDescent="0.3">
      <c r="A79" s="235" t="str">
        <f t="shared" si="22"/>
        <v>Vote 5 - Sports and Recreation</v>
      </c>
      <c r="B79" s="458"/>
      <c r="C79" s="50">
        <f t="shared" ref="C79:I79" si="29">SUM(C80:C80)</f>
        <v>15182096</v>
      </c>
      <c r="D79" s="51">
        <f t="shared" si="29"/>
        <v>0</v>
      </c>
      <c r="E79" s="51">
        <f t="shared" si="29"/>
        <v>0</v>
      </c>
      <c r="F79" s="51">
        <f t="shared" si="29"/>
        <v>0</v>
      </c>
      <c r="G79" s="51">
        <f t="shared" si="29"/>
        <v>0</v>
      </c>
      <c r="H79" s="51">
        <f t="shared" si="29"/>
        <v>0</v>
      </c>
      <c r="I79" s="51">
        <f t="shared" si="29"/>
        <v>-1794330.79</v>
      </c>
      <c r="J79" s="52">
        <f t="shared" si="24"/>
        <v>-1794330.79</v>
      </c>
      <c r="K79" s="52">
        <f t="shared" si="25"/>
        <v>13387765.210000001</v>
      </c>
      <c r="L79" s="51">
        <f>SUM(L80:L80)</f>
        <v>15786854.986601755</v>
      </c>
      <c r="M79" s="459">
        <f>SUM(M80:M80)</f>
        <v>16828265.220500633</v>
      </c>
    </row>
    <row r="80" spans="1:13" x14ac:dyDescent="0.3">
      <c r="A80" s="66" t="str">
        <f t="shared" si="22"/>
        <v>5.1 - Community parks</v>
      </c>
      <c r="B80" s="460"/>
      <c r="C80" s="54">
        <v>15182096</v>
      </c>
      <c r="D80" s="53"/>
      <c r="E80" s="53"/>
      <c r="F80" s="53"/>
      <c r="G80" s="53"/>
      <c r="H80" s="53"/>
      <c r="I80" s="53">
        <f>-500000-1303330.79+9000</f>
        <v>-1794330.79</v>
      </c>
      <c r="J80" s="52">
        <f t="shared" si="24"/>
        <v>-1794330.79</v>
      </c>
      <c r="K80" s="52">
        <f t="shared" si="25"/>
        <v>13387765.210000001</v>
      </c>
      <c r="L80" s="53">
        <v>15786854.986601755</v>
      </c>
      <c r="M80" s="477">
        <v>16828265.220500633</v>
      </c>
    </row>
    <row r="81" spans="1:13" x14ac:dyDescent="0.3">
      <c r="A81" s="235" t="str">
        <f t="shared" si="22"/>
        <v>Vote 6 - Housing</v>
      </c>
      <c r="B81" s="458"/>
      <c r="C81" s="50">
        <f t="shared" ref="C81:I81" si="30">SUM(C82:C82)</f>
        <v>776788</v>
      </c>
      <c r="D81" s="51">
        <f t="shared" si="30"/>
        <v>0</v>
      </c>
      <c r="E81" s="51">
        <f t="shared" si="30"/>
        <v>0</v>
      </c>
      <c r="F81" s="51">
        <f t="shared" si="30"/>
        <v>0</v>
      </c>
      <c r="G81" s="51">
        <f t="shared" si="30"/>
        <v>0</v>
      </c>
      <c r="H81" s="51">
        <f t="shared" si="30"/>
        <v>0</v>
      </c>
      <c r="I81" s="51">
        <f t="shared" si="30"/>
        <v>98496.19</v>
      </c>
      <c r="J81" s="52">
        <f t="shared" si="24"/>
        <v>98496.19</v>
      </c>
      <c r="K81" s="52">
        <f t="shared" si="25"/>
        <v>875284.19</v>
      </c>
      <c r="L81" s="51">
        <f>SUM(L82:L82)</f>
        <v>830087.27268588985</v>
      </c>
      <c r="M81" s="459">
        <f>SUM(M82:M82)</f>
        <v>887047.95299876144</v>
      </c>
    </row>
    <row r="82" spans="1:13" x14ac:dyDescent="0.3">
      <c r="A82" s="66" t="str">
        <f t="shared" si="22"/>
        <v>6.1 - Housing</v>
      </c>
      <c r="B82" s="460"/>
      <c r="C82" s="54">
        <v>776788</v>
      </c>
      <c r="D82" s="53"/>
      <c r="E82" s="53"/>
      <c r="F82" s="53"/>
      <c r="G82" s="53"/>
      <c r="H82" s="53"/>
      <c r="I82" s="53">
        <f>45164.62+53331.57</f>
        <v>98496.19</v>
      </c>
      <c r="J82" s="52">
        <f t="shared" si="24"/>
        <v>98496.19</v>
      </c>
      <c r="K82" s="52">
        <f t="shared" si="25"/>
        <v>875284.19</v>
      </c>
      <c r="L82" s="53">
        <v>830087.27268588985</v>
      </c>
      <c r="M82" s="477">
        <v>887047.95299876144</v>
      </c>
    </row>
    <row r="83" spans="1:13" x14ac:dyDescent="0.3">
      <c r="A83" s="235" t="str">
        <f t="shared" si="22"/>
        <v xml:space="preserve">Vote 7 - Planning and development </v>
      </c>
      <c r="B83" s="458"/>
      <c r="C83" s="50">
        <f t="shared" ref="C83:I83" si="31">SUM(C84:C86)</f>
        <v>23542563</v>
      </c>
      <c r="D83" s="51">
        <f t="shared" si="31"/>
        <v>0</v>
      </c>
      <c r="E83" s="51">
        <f t="shared" si="31"/>
        <v>0</v>
      </c>
      <c r="F83" s="51">
        <f t="shared" si="31"/>
        <v>0</v>
      </c>
      <c r="G83" s="51">
        <f t="shared" si="31"/>
        <v>0</v>
      </c>
      <c r="H83" s="51">
        <f t="shared" si="31"/>
        <v>0</v>
      </c>
      <c r="I83" s="51">
        <f t="shared" si="31"/>
        <v>-5688471.4199999999</v>
      </c>
      <c r="J83" s="52">
        <f t="shared" ref="J83:J108" si="32">SUM(E83:I83)</f>
        <v>-5688471.4199999999</v>
      </c>
      <c r="K83" s="52">
        <f t="shared" ref="K83:K108" si="33">IF(D83=0,C83+J83,D83+J83)</f>
        <v>17854091.579999998</v>
      </c>
      <c r="L83" s="51">
        <f>SUM(L84:L86)</f>
        <v>16226547.840510551</v>
      </c>
      <c r="M83" s="459">
        <f>SUM(M84:M86)</f>
        <v>17220675.417043187</v>
      </c>
    </row>
    <row r="84" spans="1:13" x14ac:dyDescent="0.3">
      <c r="A84" s="66" t="str">
        <f t="shared" si="22"/>
        <v>7.1 - Corporate Wide Strategic Planning (IDP &amp; LED)</v>
      </c>
      <c r="B84" s="460"/>
      <c r="C84" s="54">
        <v>8744481</v>
      </c>
      <c r="D84" s="53"/>
      <c r="E84" s="53"/>
      <c r="F84" s="53"/>
      <c r="G84" s="53"/>
      <c r="H84" s="53"/>
      <c r="I84" s="53">
        <f>-4013950+33064.92-91999.05</f>
        <v>-4072884.13</v>
      </c>
      <c r="J84" s="52">
        <f t="shared" si="32"/>
        <v>-4072884.13</v>
      </c>
      <c r="K84" s="52">
        <f t="shared" si="33"/>
        <v>4671596.87</v>
      </c>
      <c r="L84" s="53">
        <v>5367426.9403016297</v>
      </c>
      <c r="M84" s="477">
        <v>5657206.2402151339</v>
      </c>
    </row>
    <row r="85" spans="1:13" x14ac:dyDescent="0.3">
      <c r="A85" s="66" t="str">
        <f t="shared" si="22"/>
        <v>7.2 - Town Planning and Building Regulations</v>
      </c>
      <c r="B85" s="460"/>
      <c r="C85" s="54">
        <v>11285035</v>
      </c>
      <c r="D85" s="53"/>
      <c r="E85" s="53"/>
      <c r="F85" s="53"/>
      <c r="G85" s="53"/>
      <c r="H85" s="53"/>
      <c r="I85" s="53">
        <f>-1626000+10412.71</f>
        <v>-1615587.29</v>
      </c>
      <c r="J85" s="52">
        <f t="shared" si="32"/>
        <v>-1615587.29</v>
      </c>
      <c r="K85" s="52">
        <f t="shared" si="33"/>
        <v>9669447.7100000009</v>
      </c>
      <c r="L85" s="53">
        <v>7111134.8112154007</v>
      </c>
      <c r="M85" s="477">
        <v>7564736.2785241343</v>
      </c>
    </row>
    <row r="86" spans="1:13" x14ac:dyDescent="0.3">
      <c r="A86" s="66" t="str">
        <f t="shared" si="22"/>
        <v>7.3 - Project Management Unit</v>
      </c>
      <c r="B86" s="460"/>
      <c r="C86" s="54">
        <v>3513047</v>
      </c>
      <c r="D86" s="53"/>
      <c r="E86" s="53"/>
      <c r="F86" s="53"/>
      <c r="G86" s="53"/>
      <c r="H86" s="53"/>
      <c r="I86" s="53">
        <v>0</v>
      </c>
      <c r="J86" s="52">
        <f t="shared" si="32"/>
        <v>0</v>
      </c>
      <c r="K86" s="52">
        <f t="shared" si="33"/>
        <v>3513047</v>
      </c>
      <c r="L86" s="53">
        <v>3747986.08899352</v>
      </c>
      <c r="M86" s="477">
        <v>3998732.8983039195</v>
      </c>
    </row>
    <row r="87" spans="1:13" x14ac:dyDescent="0.3">
      <c r="A87" s="235" t="str">
        <f t="shared" si="22"/>
        <v>Vote 8 - Road Transport</v>
      </c>
      <c r="B87" s="460"/>
      <c r="C87" s="50">
        <f t="shared" ref="C87:I87" si="34">SUM(C88:C90)</f>
        <v>54220389</v>
      </c>
      <c r="D87" s="51">
        <f t="shared" si="34"/>
        <v>0</v>
      </c>
      <c r="E87" s="51">
        <f t="shared" si="34"/>
        <v>0</v>
      </c>
      <c r="F87" s="51">
        <f t="shared" si="34"/>
        <v>0</v>
      </c>
      <c r="G87" s="51">
        <f t="shared" si="34"/>
        <v>0</v>
      </c>
      <c r="H87" s="51">
        <f t="shared" si="34"/>
        <v>0</v>
      </c>
      <c r="I87" s="51">
        <f t="shared" si="34"/>
        <v>-3336026.38</v>
      </c>
      <c r="J87" s="52">
        <f t="shared" si="32"/>
        <v>-3336026.38</v>
      </c>
      <c r="K87" s="52">
        <f t="shared" si="33"/>
        <v>50884362.619999997</v>
      </c>
      <c r="L87" s="51">
        <f>SUM(L88:L90)</f>
        <v>46626233.523637146</v>
      </c>
      <c r="M87" s="459">
        <f>SUM(M88:M90)</f>
        <v>49519766.218250521</v>
      </c>
    </row>
    <row r="88" spans="1:13" x14ac:dyDescent="0.3">
      <c r="A88" s="66" t="str">
        <f t="shared" si="22"/>
        <v>8.1 - Road and Traffic Regulations</v>
      </c>
      <c r="B88" s="460"/>
      <c r="C88" s="54">
        <f>27957361+200000</f>
        <v>28157361</v>
      </c>
      <c r="D88" s="53"/>
      <c r="E88" s="53"/>
      <c r="F88" s="53"/>
      <c r="G88" s="53"/>
      <c r="H88" s="53"/>
      <c r="I88" s="53">
        <f>259357.44-185000</f>
        <v>74357.440000000002</v>
      </c>
      <c r="J88" s="52">
        <f t="shared" si="32"/>
        <v>74357.440000000002</v>
      </c>
      <c r="K88" s="52">
        <f t="shared" si="33"/>
        <v>28231718.440000001</v>
      </c>
      <c r="L88" s="53">
        <v>29713091.990583103</v>
      </c>
      <c r="M88" s="477">
        <v>31580616.733399067</v>
      </c>
    </row>
    <row r="89" spans="1:13" x14ac:dyDescent="0.3">
      <c r="A89" s="66" t="str">
        <f t="shared" si="22"/>
        <v>8.2 - Roads</v>
      </c>
      <c r="B89" s="460"/>
      <c r="C89" s="54">
        <v>25801551</v>
      </c>
      <c r="D89" s="53"/>
      <c r="E89" s="53"/>
      <c r="F89" s="53"/>
      <c r="G89" s="53"/>
      <c r="H89" s="53"/>
      <c r="I89" s="53">
        <f>-2000000-193487.51-1198500</f>
        <v>-3391987.51</v>
      </c>
      <c r="J89" s="52">
        <f t="shared" si="32"/>
        <v>-3391987.51</v>
      </c>
      <c r="K89" s="52">
        <f t="shared" si="33"/>
        <v>22409563.490000002</v>
      </c>
      <c r="L89" s="53">
        <v>16643384.73974924</v>
      </c>
      <c r="M89" s="477">
        <v>17650928.028409645</v>
      </c>
    </row>
    <row r="90" spans="1:13" x14ac:dyDescent="0.3">
      <c r="A90" s="66" t="str">
        <f t="shared" si="22"/>
        <v>8.3 - Taxi Ranks</v>
      </c>
      <c r="B90" s="460"/>
      <c r="C90" s="54">
        <v>261477</v>
      </c>
      <c r="D90" s="53"/>
      <c r="E90" s="53"/>
      <c r="F90" s="53"/>
      <c r="G90" s="53"/>
      <c r="H90" s="53"/>
      <c r="I90" s="53">
        <f>-9000-9396.31</f>
        <v>-18396.309999999998</v>
      </c>
      <c r="J90" s="52">
        <f t="shared" si="32"/>
        <v>-18396.309999999998</v>
      </c>
      <c r="K90" s="52">
        <f t="shared" si="33"/>
        <v>243080.69</v>
      </c>
      <c r="L90" s="53">
        <v>269756.7933048</v>
      </c>
      <c r="M90" s="477">
        <v>288221.45644180919</v>
      </c>
    </row>
    <row r="91" spans="1:13" x14ac:dyDescent="0.3">
      <c r="A91" s="235" t="str">
        <f t="shared" si="22"/>
        <v>Vote 9 - Energy Sources</v>
      </c>
      <c r="B91" s="460"/>
      <c r="C91" s="50">
        <f t="shared" ref="C91:I91" si="35">SUM(C92:C93)</f>
        <v>47686645</v>
      </c>
      <c r="D91" s="51">
        <f t="shared" si="35"/>
        <v>0</v>
      </c>
      <c r="E91" s="51">
        <f t="shared" si="35"/>
        <v>0</v>
      </c>
      <c r="F91" s="51">
        <f t="shared" si="35"/>
        <v>0</v>
      </c>
      <c r="G91" s="51">
        <f t="shared" si="35"/>
        <v>0</v>
      </c>
      <c r="H91" s="51">
        <f t="shared" si="35"/>
        <v>0</v>
      </c>
      <c r="I91" s="51">
        <f t="shared" si="35"/>
        <v>-5657299.2699999996</v>
      </c>
      <c r="J91" s="52">
        <f t="shared" si="32"/>
        <v>-5657299.2699999996</v>
      </c>
      <c r="K91" s="52">
        <f t="shared" si="33"/>
        <v>42029345.730000004</v>
      </c>
      <c r="L91" s="51">
        <f>SUM(L92:L93)</f>
        <v>40832093.910386637</v>
      </c>
      <c r="M91" s="459">
        <f>SUM(M92:M93)</f>
        <v>43108554.260668471</v>
      </c>
    </row>
    <row r="92" spans="1:13" x14ac:dyDescent="0.3">
      <c r="A92" s="66" t="str">
        <f t="shared" si="22"/>
        <v>9.1 - Electricity</v>
      </c>
      <c r="B92" s="460"/>
      <c r="C92" s="54">
        <f>32862349+5000000</f>
        <v>37862349</v>
      </c>
      <c r="D92" s="53"/>
      <c r="E92" s="53"/>
      <c r="F92" s="53"/>
      <c r="G92" s="53"/>
      <c r="H92" s="53"/>
      <c r="I92" s="53">
        <f>4285-790479.98-1371104.29</f>
        <v>-2157299.27</v>
      </c>
      <c r="J92" s="52">
        <f t="shared" si="32"/>
        <v>-2157299.27</v>
      </c>
      <c r="K92" s="52">
        <f t="shared" si="33"/>
        <v>35705049.729999997</v>
      </c>
      <c r="L92" s="53">
        <v>34166286.1292184</v>
      </c>
      <c r="M92" s="477">
        <v>36082792.859317146</v>
      </c>
    </row>
    <row r="93" spans="1:13" x14ac:dyDescent="0.3">
      <c r="A93" s="66" t="str">
        <f t="shared" si="22"/>
        <v>9.2 - Street Lighting</v>
      </c>
      <c r="B93" s="460"/>
      <c r="C93" s="54">
        <v>9824296</v>
      </c>
      <c r="D93" s="53"/>
      <c r="E93" s="53"/>
      <c r="F93" s="53"/>
      <c r="G93" s="53"/>
      <c r="H93" s="53"/>
      <c r="I93" s="53">
        <v>-3500000</v>
      </c>
      <c r="J93" s="52">
        <f t="shared" si="32"/>
        <v>-3500000</v>
      </c>
      <c r="K93" s="52">
        <f t="shared" si="33"/>
        <v>6324296</v>
      </c>
      <c r="L93" s="53">
        <v>6665807.7811682392</v>
      </c>
      <c r="M93" s="477">
        <v>7025761.4013513252</v>
      </c>
    </row>
    <row r="94" spans="1:13" x14ac:dyDescent="0.3">
      <c r="A94" s="235" t="str">
        <f t="shared" si="22"/>
        <v>Vote 10 - Waste Water Management</v>
      </c>
      <c r="B94" s="460"/>
      <c r="C94" s="50">
        <f t="shared" ref="C94:I94" si="36">SUM(C95:C104)</f>
        <v>751605</v>
      </c>
      <c r="D94" s="51">
        <f t="shared" si="36"/>
        <v>0</v>
      </c>
      <c r="E94" s="51">
        <f t="shared" si="36"/>
        <v>0</v>
      </c>
      <c r="F94" s="51">
        <f t="shared" si="36"/>
        <v>0</v>
      </c>
      <c r="G94" s="51">
        <f t="shared" si="36"/>
        <v>0</v>
      </c>
      <c r="H94" s="51">
        <f t="shared" si="36"/>
        <v>0</v>
      </c>
      <c r="I94" s="51">
        <f t="shared" si="36"/>
        <v>-40552.980000000003</v>
      </c>
      <c r="J94" s="52">
        <f t="shared" si="32"/>
        <v>-40552.980000000003</v>
      </c>
      <c r="K94" s="52">
        <f t="shared" si="33"/>
        <v>711052.02</v>
      </c>
      <c r="L94" s="51">
        <f>SUM(L95:L104)</f>
        <v>802836.49385348998</v>
      </c>
      <c r="M94" s="459">
        <f>SUM(M95:M104)</f>
        <v>857568.71192217781</v>
      </c>
    </row>
    <row r="95" spans="1:13" x14ac:dyDescent="0.3">
      <c r="A95" s="66" t="str">
        <f t="shared" si="22"/>
        <v>10.1 - Public Toilets</v>
      </c>
      <c r="B95" s="460"/>
      <c r="C95" s="54">
        <v>751605</v>
      </c>
      <c r="D95" s="53"/>
      <c r="E95" s="53"/>
      <c r="F95" s="53"/>
      <c r="G95" s="53"/>
      <c r="H95" s="53"/>
      <c r="I95" s="53">
        <v>-40552.980000000003</v>
      </c>
      <c r="J95" s="52">
        <f t="shared" si="32"/>
        <v>-40552.980000000003</v>
      </c>
      <c r="K95" s="52">
        <f t="shared" si="33"/>
        <v>711052.02</v>
      </c>
      <c r="L95" s="53">
        <v>802836.49385348998</v>
      </c>
      <c r="M95" s="477">
        <v>857568.71192217781</v>
      </c>
    </row>
    <row r="96" spans="1:13" x14ac:dyDescent="0.3">
      <c r="A96" s="66" t="e">
        <f>#REF!</f>
        <v>#REF!</v>
      </c>
      <c r="B96" s="460"/>
      <c r="C96" s="55"/>
      <c r="D96" s="53"/>
      <c r="E96" s="53"/>
      <c r="F96" s="53"/>
      <c r="G96" s="53"/>
      <c r="H96" s="53"/>
      <c r="I96" s="53"/>
      <c r="J96" s="52">
        <f t="shared" si="32"/>
        <v>0</v>
      </c>
      <c r="K96" s="52">
        <f t="shared" si="33"/>
        <v>0</v>
      </c>
      <c r="L96" s="53"/>
      <c r="M96" s="477"/>
    </row>
    <row r="97" spans="1:13" x14ac:dyDescent="0.3">
      <c r="A97" s="66" t="e">
        <f>#REF!</f>
        <v>#REF!</v>
      </c>
      <c r="B97" s="460"/>
      <c r="C97" s="55"/>
      <c r="D97" s="53"/>
      <c r="E97" s="53"/>
      <c r="F97" s="53"/>
      <c r="G97" s="53"/>
      <c r="H97" s="53"/>
      <c r="I97" s="53"/>
      <c r="J97" s="52">
        <f t="shared" si="32"/>
        <v>0</v>
      </c>
      <c r="K97" s="52">
        <f t="shared" si="33"/>
        <v>0</v>
      </c>
      <c r="L97" s="53"/>
      <c r="M97" s="477"/>
    </row>
    <row r="98" spans="1:13" x14ac:dyDescent="0.3">
      <c r="A98" s="66" t="e">
        <f>#REF!</f>
        <v>#REF!</v>
      </c>
      <c r="B98" s="460"/>
      <c r="C98" s="55"/>
      <c r="D98" s="53"/>
      <c r="E98" s="53"/>
      <c r="F98" s="53"/>
      <c r="G98" s="53"/>
      <c r="H98" s="53"/>
      <c r="I98" s="53"/>
      <c r="J98" s="52">
        <f t="shared" si="32"/>
        <v>0</v>
      </c>
      <c r="K98" s="52">
        <f t="shared" si="33"/>
        <v>0</v>
      </c>
      <c r="L98" s="53"/>
      <c r="M98" s="477"/>
    </row>
    <row r="99" spans="1:13" x14ac:dyDescent="0.3">
      <c r="A99" s="66" t="e">
        <f>#REF!</f>
        <v>#REF!</v>
      </c>
      <c r="B99" s="460"/>
      <c r="C99" s="55"/>
      <c r="D99" s="53"/>
      <c r="E99" s="53"/>
      <c r="F99" s="53"/>
      <c r="G99" s="53"/>
      <c r="H99" s="53"/>
      <c r="I99" s="53"/>
      <c r="J99" s="52">
        <f t="shared" si="32"/>
        <v>0</v>
      </c>
      <c r="K99" s="52">
        <f t="shared" si="33"/>
        <v>0</v>
      </c>
      <c r="L99" s="53"/>
      <c r="M99" s="477"/>
    </row>
    <row r="100" spans="1:13" x14ac:dyDescent="0.3">
      <c r="A100" s="66" t="e">
        <f>#REF!</f>
        <v>#REF!</v>
      </c>
      <c r="B100" s="460"/>
      <c r="C100" s="55"/>
      <c r="D100" s="53"/>
      <c r="E100" s="53"/>
      <c r="F100" s="53"/>
      <c r="G100" s="53"/>
      <c r="H100" s="53"/>
      <c r="I100" s="53"/>
      <c r="J100" s="52">
        <f t="shared" si="32"/>
        <v>0</v>
      </c>
      <c r="K100" s="52">
        <f t="shared" si="33"/>
        <v>0</v>
      </c>
      <c r="L100" s="53"/>
      <c r="M100" s="477"/>
    </row>
    <row r="101" spans="1:13" x14ac:dyDescent="0.3">
      <c r="A101" s="66" t="e">
        <f>#REF!</f>
        <v>#REF!</v>
      </c>
      <c r="B101" s="460"/>
      <c r="C101" s="55"/>
      <c r="D101" s="53"/>
      <c r="E101" s="53"/>
      <c r="F101" s="53"/>
      <c r="G101" s="53"/>
      <c r="H101" s="53"/>
      <c r="I101" s="53"/>
      <c r="J101" s="52">
        <f t="shared" si="32"/>
        <v>0</v>
      </c>
      <c r="K101" s="52">
        <f t="shared" si="33"/>
        <v>0</v>
      </c>
      <c r="L101" s="53"/>
      <c r="M101" s="477"/>
    </row>
    <row r="102" spans="1:13" x14ac:dyDescent="0.3">
      <c r="A102" s="66" t="e">
        <f>#REF!</f>
        <v>#REF!</v>
      </c>
      <c r="B102" s="460"/>
      <c r="C102" s="55"/>
      <c r="D102" s="53"/>
      <c r="E102" s="53"/>
      <c r="F102" s="53"/>
      <c r="G102" s="53"/>
      <c r="H102" s="53"/>
      <c r="I102" s="53"/>
      <c r="J102" s="52">
        <f t="shared" si="32"/>
        <v>0</v>
      </c>
      <c r="K102" s="52">
        <f t="shared" si="33"/>
        <v>0</v>
      </c>
      <c r="L102" s="53"/>
      <c r="M102" s="477"/>
    </row>
    <row r="103" spans="1:13" x14ac:dyDescent="0.3">
      <c r="A103" s="66" t="e">
        <f>#REF!</f>
        <v>#REF!</v>
      </c>
      <c r="B103" s="460"/>
      <c r="C103" s="55"/>
      <c r="D103" s="53"/>
      <c r="E103" s="53"/>
      <c r="F103" s="53"/>
      <c r="G103" s="53"/>
      <c r="H103" s="53"/>
      <c r="I103" s="53"/>
      <c r="J103" s="52">
        <f t="shared" si="32"/>
        <v>0</v>
      </c>
      <c r="K103" s="52">
        <f t="shared" si="33"/>
        <v>0</v>
      </c>
      <c r="L103" s="53"/>
      <c r="M103" s="477"/>
    </row>
    <row r="104" spans="1:13" x14ac:dyDescent="0.3">
      <c r="A104" s="66" t="e">
        <f>#REF!</f>
        <v>#REF!</v>
      </c>
      <c r="B104" s="460"/>
      <c r="C104" s="55"/>
      <c r="D104" s="53"/>
      <c r="E104" s="53"/>
      <c r="F104" s="53"/>
      <c r="G104" s="53"/>
      <c r="H104" s="53"/>
      <c r="I104" s="53"/>
      <c r="J104" s="52">
        <f t="shared" si="32"/>
        <v>0</v>
      </c>
      <c r="K104" s="52">
        <f t="shared" si="33"/>
        <v>0</v>
      </c>
      <c r="L104" s="53"/>
      <c r="M104" s="477"/>
    </row>
    <row r="105" spans="1:13" x14ac:dyDescent="0.3">
      <c r="A105" s="235" t="str">
        <f t="shared" ref="A105:A114" si="37">A45</f>
        <v>Vote 11 - Waste Management</v>
      </c>
      <c r="B105" s="460"/>
      <c r="C105" s="50">
        <f t="shared" ref="C105:I105" si="38">SUM(C106:C106)</f>
        <v>5509316</v>
      </c>
      <c r="D105" s="51">
        <f t="shared" si="38"/>
        <v>0</v>
      </c>
      <c r="E105" s="51">
        <f t="shared" si="38"/>
        <v>0</v>
      </c>
      <c r="F105" s="51">
        <f t="shared" si="38"/>
        <v>0</v>
      </c>
      <c r="G105" s="51">
        <f t="shared" si="38"/>
        <v>0</v>
      </c>
      <c r="H105" s="51">
        <f t="shared" si="38"/>
        <v>0</v>
      </c>
      <c r="I105" s="51">
        <f t="shared" si="38"/>
        <v>1907305.53</v>
      </c>
      <c r="J105" s="52">
        <f t="shared" si="32"/>
        <v>1907305.53</v>
      </c>
      <c r="K105" s="52">
        <f t="shared" si="33"/>
        <v>7416621.5300000003</v>
      </c>
      <c r="L105" s="51">
        <f>SUM(L106:L106)</f>
        <v>5839885.3272463884</v>
      </c>
      <c r="M105" s="459">
        <f>SUM(M106:M106)</f>
        <v>6190587.3803468943</v>
      </c>
    </row>
    <row r="106" spans="1:13" x14ac:dyDescent="0.3">
      <c r="A106" s="66" t="str">
        <f t="shared" si="37"/>
        <v>11.1 - Solid Waste Removal</v>
      </c>
      <c r="B106" s="460"/>
      <c r="C106" s="54">
        <v>5509316</v>
      </c>
      <c r="D106" s="53"/>
      <c r="E106" s="53"/>
      <c r="F106" s="53"/>
      <c r="G106" s="53"/>
      <c r="H106" s="53"/>
      <c r="I106" s="53">
        <f>1765732.79+141572.74</f>
        <v>1907305.53</v>
      </c>
      <c r="J106" s="52">
        <f t="shared" si="32"/>
        <v>1907305.53</v>
      </c>
      <c r="K106" s="52">
        <f t="shared" si="33"/>
        <v>7416621.5300000003</v>
      </c>
      <c r="L106" s="53">
        <v>5839885.3272463884</v>
      </c>
      <c r="M106" s="477">
        <v>6190587.3803468943</v>
      </c>
    </row>
    <row r="107" spans="1:13" x14ac:dyDescent="0.3">
      <c r="A107" s="235" t="str">
        <f t="shared" si="37"/>
        <v>Vote 12 - [NAME OF VOTE 12]</v>
      </c>
      <c r="B107" s="460"/>
      <c r="C107" s="50">
        <f t="shared" ref="C107:I107" si="39">SUM(C108:C108)</f>
        <v>0</v>
      </c>
      <c r="D107" s="51">
        <f t="shared" si="39"/>
        <v>0</v>
      </c>
      <c r="E107" s="51">
        <f t="shared" si="39"/>
        <v>0</v>
      </c>
      <c r="F107" s="51">
        <f t="shared" si="39"/>
        <v>0</v>
      </c>
      <c r="G107" s="51">
        <f t="shared" si="39"/>
        <v>0</v>
      </c>
      <c r="H107" s="51">
        <f t="shared" si="39"/>
        <v>0</v>
      </c>
      <c r="I107" s="51">
        <f t="shared" si="39"/>
        <v>0</v>
      </c>
      <c r="J107" s="52">
        <f t="shared" si="32"/>
        <v>0</v>
      </c>
      <c r="K107" s="52">
        <f t="shared" si="33"/>
        <v>0</v>
      </c>
      <c r="L107" s="51">
        <f>SUM(L108:L108)</f>
        <v>0</v>
      </c>
      <c r="M107" s="459">
        <f>SUM(M108:M108)</f>
        <v>0</v>
      </c>
    </row>
    <row r="108" spans="1:13" x14ac:dyDescent="0.3">
      <c r="A108" s="66" t="str">
        <f t="shared" si="37"/>
        <v>12.1 - [Name of sub-vote]</v>
      </c>
      <c r="B108" s="460"/>
      <c r="C108" s="55"/>
      <c r="D108" s="53"/>
      <c r="E108" s="53"/>
      <c r="F108" s="53"/>
      <c r="G108" s="53"/>
      <c r="H108" s="53"/>
      <c r="I108" s="53"/>
      <c r="J108" s="52">
        <f t="shared" si="32"/>
        <v>0</v>
      </c>
      <c r="K108" s="52">
        <f t="shared" si="33"/>
        <v>0</v>
      </c>
      <c r="L108" s="53"/>
      <c r="M108" s="477"/>
    </row>
    <row r="109" spans="1:13" x14ac:dyDescent="0.3">
      <c r="A109" s="235" t="str">
        <f t="shared" si="37"/>
        <v>Vote 13 - [NAME OF VOTE 13]</v>
      </c>
      <c r="B109" s="460"/>
      <c r="C109" s="50">
        <f t="shared" ref="C109:I109" si="40">SUM(C110:C110)</f>
        <v>0</v>
      </c>
      <c r="D109" s="51">
        <f t="shared" si="40"/>
        <v>0</v>
      </c>
      <c r="E109" s="51">
        <f t="shared" si="40"/>
        <v>0</v>
      </c>
      <c r="F109" s="51">
        <f t="shared" si="40"/>
        <v>0</v>
      </c>
      <c r="G109" s="51">
        <f t="shared" si="40"/>
        <v>0</v>
      </c>
      <c r="H109" s="51">
        <f t="shared" si="40"/>
        <v>0</v>
      </c>
      <c r="I109" s="51">
        <f t="shared" si="40"/>
        <v>0</v>
      </c>
      <c r="J109" s="52">
        <f t="shared" ref="J109:J114" si="41">SUM(E109:I109)</f>
        <v>0</v>
      </c>
      <c r="K109" s="52">
        <f t="shared" ref="K109:K114" si="42">IF(D109=0,C109+J109,D109+J109)</f>
        <v>0</v>
      </c>
      <c r="L109" s="51">
        <f>SUM(L110:L110)</f>
        <v>0</v>
      </c>
      <c r="M109" s="459">
        <f>SUM(M110:M110)</f>
        <v>0</v>
      </c>
    </row>
    <row r="110" spans="1:13" x14ac:dyDescent="0.3">
      <c r="A110" s="66" t="str">
        <f t="shared" si="37"/>
        <v>13.1 - [Name of sub-vote]</v>
      </c>
      <c r="B110" s="460"/>
      <c r="C110" s="55"/>
      <c r="D110" s="53"/>
      <c r="E110" s="53"/>
      <c r="F110" s="53"/>
      <c r="G110" s="53"/>
      <c r="H110" s="53"/>
      <c r="I110" s="53"/>
      <c r="J110" s="52">
        <f t="shared" si="41"/>
        <v>0</v>
      </c>
      <c r="K110" s="52">
        <f t="shared" si="42"/>
        <v>0</v>
      </c>
      <c r="L110" s="53"/>
      <c r="M110" s="477"/>
    </row>
    <row r="111" spans="1:13" x14ac:dyDescent="0.3">
      <c r="A111" s="235" t="str">
        <f t="shared" si="37"/>
        <v>Vote 14 - [NAME OF VOTE 14]</v>
      </c>
      <c r="B111" s="460"/>
      <c r="C111" s="50">
        <f t="shared" ref="C111:I111" si="43">SUM(C112:C112)</f>
        <v>0</v>
      </c>
      <c r="D111" s="51">
        <f t="shared" si="43"/>
        <v>0</v>
      </c>
      <c r="E111" s="51">
        <f t="shared" si="43"/>
        <v>0</v>
      </c>
      <c r="F111" s="51">
        <f t="shared" si="43"/>
        <v>0</v>
      </c>
      <c r="G111" s="51">
        <f t="shared" si="43"/>
        <v>0</v>
      </c>
      <c r="H111" s="51">
        <f t="shared" si="43"/>
        <v>0</v>
      </c>
      <c r="I111" s="51">
        <f t="shared" si="43"/>
        <v>0</v>
      </c>
      <c r="J111" s="52">
        <f t="shared" si="41"/>
        <v>0</v>
      </c>
      <c r="K111" s="52">
        <f t="shared" si="42"/>
        <v>0</v>
      </c>
      <c r="L111" s="51">
        <f>SUM(L112:L112)</f>
        <v>0</v>
      </c>
      <c r="M111" s="459">
        <f>SUM(M112:M112)</f>
        <v>0</v>
      </c>
    </row>
    <row r="112" spans="1:13" x14ac:dyDescent="0.3">
      <c r="A112" s="66" t="str">
        <f t="shared" si="37"/>
        <v>14.1 - [Name of sub-vote]</v>
      </c>
      <c r="B112" s="460"/>
      <c r="C112" s="55"/>
      <c r="D112" s="53"/>
      <c r="E112" s="53"/>
      <c r="F112" s="53"/>
      <c r="G112" s="53"/>
      <c r="H112" s="53"/>
      <c r="I112" s="53"/>
      <c r="J112" s="52">
        <f t="shared" si="41"/>
        <v>0</v>
      </c>
      <c r="K112" s="52">
        <f t="shared" si="42"/>
        <v>0</v>
      </c>
      <c r="L112" s="53"/>
      <c r="M112" s="477"/>
    </row>
    <row r="113" spans="1:13" x14ac:dyDescent="0.3">
      <c r="A113" s="235" t="str">
        <f t="shared" si="37"/>
        <v>Vote 15 - [NAME OF VOTE 15]</v>
      </c>
      <c r="B113" s="460"/>
      <c r="C113" s="50">
        <f t="shared" ref="C113:I113" si="44">SUM(C114:C114)</f>
        <v>0</v>
      </c>
      <c r="D113" s="51">
        <f t="shared" si="44"/>
        <v>0</v>
      </c>
      <c r="E113" s="51">
        <f t="shared" si="44"/>
        <v>0</v>
      </c>
      <c r="F113" s="51">
        <f t="shared" si="44"/>
        <v>0</v>
      </c>
      <c r="G113" s="51">
        <f t="shared" si="44"/>
        <v>0</v>
      </c>
      <c r="H113" s="51">
        <f t="shared" si="44"/>
        <v>0</v>
      </c>
      <c r="I113" s="51">
        <f t="shared" si="44"/>
        <v>0</v>
      </c>
      <c r="J113" s="52">
        <f t="shared" si="41"/>
        <v>0</v>
      </c>
      <c r="K113" s="52">
        <f t="shared" si="42"/>
        <v>0</v>
      </c>
      <c r="L113" s="51">
        <f>SUM(L114:L114)</f>
        <v>0</v>
      </c>
      <c r="M113" s="459">
        <f>SUM(M114:M114)</f>
        <v>0</v>
      </c>
    </row>
    <row r="114" spans="1:13" x14ac:dyDescent="0.3">
      <c r="A114" s="66" t="str">
        <f t="shared" si="37"/>
        <v>15.1 - [Name of sub-vote]</v>
      </c>
      <c r="B114" s="460"/>
      <c r="C114" s="55"/>
      <c r="D114" s="53"/>
      <c r="E114" s="53"/>
      <c r="F114" s="53"/>
      <c r="G114" s="53"/>
      <c r="H114" s="53"/>
      <c r="I114" s="53"/>
      <c r="J114" s="52">
        <f t="shared" si="41"/>
        <v>0</v>
      </c>
      <c r="K114" s="52">
        <f t="shared" si="42"/>
        <v>0</v>
      </c>
      <c r="L114" s="53"/>
      <c r="M114" s="477"/>
    </row>
    <row r="115" spans="1:13" x14ac:dyDescent="0.3">
      <c r="A115" s="56" t="s">
        <v>390</v>
      </c>
      <c r="B115" s="460">
        <v>2</v>
      </c>
      <c r="C115" s="57">
        <f t="shared" ref="C115:I115" si="45">C58+C61+C72+C74+C79+C81+C83+C87+C91+C105+C107+C109+C111+C113+C94</f>
        <v>313788226</v>
      </c>
      <c r="D115" s="58">
        <f t="shared" si="45"/>
        <v>0</v>
      </c>
      <c r="E115" s="58">
        <f t="shared" si="45"/>
        <v>0</v>
      </c>
      <c r="F115" s="58">
        <f t="shared" si="45"/>
        <v>0</v>
      </c>
      <c r="G115" s="58">
        <f t="shared" si="45"/>
        <v>0</v>
      </c>
      <c r="H115" s="58">
        <f t="shared" si="45"/>
        <v>0</v>
      </c>
      <c r="I115" s="58">
        <f t="shared" si="45"/>
        <v>-4652039.0299999975</v>
      </c>
      <c r="J115" s="478">
        <f>SUM(E115:I115)</f>
        <v>-4652039.0299999975</v>
      </c>
      <c r="K115" s="478">
        <f>IF(D115=0,C115+J115,D115+J115)</f>
        <v>309136186.97000003</v>
      </c>
      <c r="L115" s="58">
        <f>L58+L61+L72+L74+L79+L81+L83+L87+L91+L105+L107+L109+L111+L113+L94</f>
        <v>297153951.92916209</v>
      </c>
      <c r="M115" s="59">
        <f>M58+M61+M72+M74+M79+M81+M83+M87+M91+M105+M107+M109+M111+M113+M94</f>
        <v>314973005.58452499</v>
      </c>
    </row>
    <row r="116" spans="1:13" ht="4.5" customHeight="1" x14ac:dyDescent="0.3">
      <c r="A116" s="60"/>
      <c r="B116" s="460"/>
      <c r="C116" s="169"/>
      <c r="D116" s="61"/>
      <c r="E116" s="61"/>
      <c r="F116" s="61"/>
      <c r="G116" s="61"/>
      <c r="H116" s="61"/>
      <c r="I116" s="61"/>
      <c r="J116" s="61"/>
      <c r="K116" s="61"/>
      <c r="L116" s="61"/>
      <c r="M116" s="479"/>
    </row>
    <row r="117" spans="1:13" x14ac:dyDescent="0.3">
      <c r="A117" s="97" t="e">
        <f>result</f>
        <v>#REF!</v>
      </c>
      <c r="B117" s="480">
        <v>2</v>
      </c>
      <c r="C117" s="75">
        <f t="shared" ref="C117:I117" si="46">C55-C115</f>
        <v>151354217</v>
      </c>
      <c r="D117" s="62">
        <f t="shared" si="46"/>
        <v>0</v>
      </c>
      <c r="E117" s="62">
        <f t="shared" si="46"/>
        <v>0</v>
      </c>
      <c r="F117" s="62">
        <f t="shared" si="46"/>
        <v>0</v>
      </c>
      <c r="G117" s="62">
        <f t="shared" si="46"/>
        <v>0</v>
      </c>
      <c r="H117" s="62">
        <f t="shared" si="46"/>
        <v>0</v>
      </c>
      <c r="I117" s="62">
        <f t="shared" si="46"/>
        <v>-34646706.627839997</v>
      </c>
      <c r="J117" s="481">
        <f>SUM(E117:I117)</f>
        <v>-34646706.627839997</v>
      </c>
      <c r="K117" s="481">
        <f>IF(D117=0,C117+J117,D117+J117)</f>
        <v>116707510.37216</v>
      </c>
      <c r="L117" s="62">
        <f>L55-L115</f>
        <v>143493172.35144275</v>
      </c>
      <c r="M117" s="482">
        <f>M55-M115</f>
        <v>155956111.40723217</v>
      </c>
    </row>
    <row r="118" spans="1:13" x14ac:dyDescent="0.3">
      <c r="A118" s="483">
        <f>head27a</f>
        <v>0</v>
      </c>
      <c r="B118" s="174"/>
      <c r="C118" s="484"/>
      <c r="D118" s="485"/>
      <c r="E118" s="485"/>
      <c r="F118" s="485"/>
      <c r="G118" s="485"/>
      <c r="H118" s="485"/>
      <c r="I118" s="485"/>
      <c r="J118" s="485"/>
      <c r="K118" s="485"/>
    </row>
    <row r="119" spans="1:13" x14ac:dyDescent="0.3">
      <c r="A119" s="486" t="s">
        <v>882</v>
      </c>
      <c r="B119" s="174"/>
      <c r="C119" s="487"/>
      <c r="D119" s="487"/>
      <c r="E119" s="485"/>
      <c r="F119" s="485"/>
      <c r="G119" s="485"/>
      <c r="H119" s="485"/>
      <c r="I119" s="485"/>
      <c r="J119" s="485"/>
      <c r="K119" s="485"/>
    </row>
    <row r="120" spans="1:13" x14ac:dyDescent="0.3">
      <c r="A120" s="488" t="s">
        <v>883</v>
      </c>
      <c r="B120" s="174"/>
      <c r="C120" s="487"/>
      <c r="D120" s="487"/>
      <c r="E120" s="485"/>
      <c r="F120" s="485"/>
      <c r="G120" s="485"/>
      <c r="H120" s="485"/>
      <c r="I120" s="485"/>
      <c r="J120" s="485"/>
      <c r="K120" s="485"/>
    </row>
    <row r="121" spans="1:13" x14ac:dyDescent="0.3">
      <c r="A121" s="488" t="s">
        <v>391</v>
      </c>
      <c r="B121" s="489"/>
      <c r="C121" s="490"/>
      <c r="D121" s="490"/>
      <c r="E121" s="491"/>
      <c r="F121" s="491"/>
      <c r="G121" s="491"/>
      <c r="H121" s="491"/>
      <c r="I121" s="491"/>
      <c r="J121" s="491"/>
      <c r="K121" s="491"/>
    </row>
  </sheetData>
  <mergeCells count="3">
    <mergeCell ref="A2:A3"/>
    <mergeCell ref="B2:B5"/>
    <mergeCell ref="C2:K2"/>
  </mergeCells>
  <dataValidations count="1">
    <dataValidation type="list" allowBlank="1" showInputMessage="1" showErrorMessage="1" promptTitle="Select Vote" prompt="Select Vote from list" sqref="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A65497 IW65497 SS65497 ACO65497 AMK65497 AWG65497 BGC65497 BPY65497 BZU65497 CJQ65497 CTM65497 DDI65497 DNE65497 DXA65497 EGW65497 EQS65497 FAO65497 FKK65497 FUG65497 GEC65497 GNY65497 GXU65497 HHQ65497 HRM65497 IBI65497 ILE65497 IVA65497 JEW65497 JOS65497 JYO65497 KIK65497 KSG65497 LCC65497 LLY65497 LVU65497 MFQ65497 MPM65497 MZI65497 NJE65497 NTA65497 OCW65497 OMS65497 OWO65497 PGK65497 PQG65497 QAC65497 QJY65497 QTU65497 RDQ65497 RNM65497 RXI65497 SHE65497 SRA65497 TAW65497 TKS65497 TUO65497 UEK65497 UOG65497 UYC65497 VHY65497 VRU65497 WBQ65497 WLM65497 WVI65497 A131033 IW131033 SS131033 ACO131033 AMK131033 AWG131033 BGC131033 BPY131033 BZU131033 CJQ131033 CTM131033 DDI131033 DNE131033 DXA131033 EGW131033 EQS131033 FAO131033 FKK131033 FUG131033 GEC131033 GNY131033 GXU131033 HHQ131033 HRM131033 IBI131033 ILE131033 IVA131033 JEW131033 JOS131033 JYO131033 KIK131033 KSG131033 LCC131033 LLY131033 LVU131033 MFQ131033 MPM131033 MZI131033 NJE131033 NTA131033 OCW131033 OMS131033 OWO131033 PGK131033 PQG131033 QAC131033 QJY131033 QTU131033 RDQ131033 RNM131033 RXI131033 SHE131033 SRA131033 TAW131033 TKS131033 TUO131033 UEK131033 UOG131033 UYC131033 VHY131033 VRU131033 WBQ131033 WLM131033 WVI131033 A196569 IW196569 SS196569 ACO196569 AMK196569 AWG196569 BGC196569 BPY196569 BZU196569 CJQ196569 CTM196569 DDI196569 DNE196569 DXA196569 EGW196569 EQS196569 FAO196569 FKK196569 FUG196569 GEC196569 GNY196569 GXU196569 HHQ196569 HRM196569 IBI196569 ILE196569 IVA196569 JEW196569 JOS196569 JYO196569 KIK196569 KSG196569 LCC196569 LLY196569 LVU196569 MFQ196569 MPM196569 MZI196569 NJE196569 NTA196569 OCW196569 OMS196569 OWO196569 PGK196569 PQG196569 QAC196569 QJY196569 QTU196569 RDQ196569 RNM196569 RXI196569 SHE196569 SRA196569 TAW196569 TKS196569 TUO196569 UEK196569 UOG196569 UYC196569 VHY196569 VRU196569 WBQ196569 WLM196569 WVI196569 A262105 IW262105 SS262105 ACO262105 AMK262105 AWG262105 BGC262105 BPY262105 BZU262105 CJQ262105 CTM262105 DDI262105 DNE262105 DXA262105 EGW262105 EQS262105 FAO262105 FKK262105 FUG262105 GEC262105 GNY262105 GXU262105 HHQ262105 HRM262105 IBI262105 ILE262105 IVA262105 JEW262105 JOS262105 JYO262105 KIK262105 KSG262105 LCC262105 LLY262105 LVU262105 MFQ262105 MPM262105 MZI262105 NJE262105 NTA262105 OCW262105 OMS262105 OWO262105 PGK262105 PQG262105 QAC262105 QJY262105 QTU262105 RDQ262105 RNM262105 RXI262105 SHE262105 SRA262105 TAW262105 TKS262105 TUO262105 UEK262105 UOG262105 UYC262105 VHY262105 VRU262105 WBQ262105 WLM262105 WVI262105 A327641 IW327641 SS327641 ACO327641 AMK327641 AWG327641 BGC327641 BPY327641 BZU327641 CJQ327641 CTM327641 DDI327641 DNE327641 DXA327641 EGW327641 EQS327641 FAO327641 FKK327641 FUG327641 GEC327641 GNY327641 GXU327641 HHQ327641 HRM327641 IBI327641 ILE327641 IVA327641 JEW327641 JOS327641 JYO327641 KIK327641 KSG327641 LCC327641 LLY327641 LVU327641 MFQ327641 MPM327641 MZI327641 NJE327641 NTA327641 OCW327641 OMS327641 OWO327641 PGK327641 PQG327641 QAC327641 QJY327641 QTU327641 RDQ327641 RNM327641 RXI327641 SHE327641 SRA327641 TAW327641 TKS327641 TUO327641 UEK327641 UOG327641 UYC327641 VHY327641 VRU327641 WBQ327641 WLM327641 WVI327641 A393177 IW393177 SS393177 ACO393177 AMK393177 AWG393177 BGC393177 BPY393177 BZU393177 CJQ393177 CTM393177 DDI393177 DNE393177 DXA393177 EGW393177 EQS393177 FAO393177 FKK393177 FUG393177 GEC393177 GNY393177 GXU393177 HHQ393177 HRM393177 IBI393177 ILE393177 IVA393177 JEW393177 JOS393177 JYO393177 KIK393177 KSG393177 LCC393177 LLY393177 LVU393177 MFQ393177 MPM393177 MZI393177 NJE393177 NTA393177 OCW393177 OMS393177 OWO393177 PGK393177 PQG393177 QAC393177 QJY393177 QTU393177 RDQ393177 RNM393177 RXI393177 SHE393177 SRA393177 TAW393177 TKS393177 TUO393177 UEK393177 UOG393177 UYC393177 VHY393177 VRU393177 WBQ393177 WLM393177 WVI393177 A458713 IW458713 SS458713 ACO458713 AMK458713 AWG458713 BGC458713 BPY458713 BZU458713 CJQ458713 CTM458713 DDI458713 DNE458713 DXA458713 EGW458713 EQS458713 FAO458713 FKK458713 FUG458713 GEC458713 GNY458713 GXU458713 HHQ458713 HRM458713 IBI458713 ILE458713 IVA458713 JEW458713 JOS458713 JYO458713 KIK458713 KSG458713 LCC458713 LLY458713 LVU458713 MFQ458713 MPM458713 MZI458713 NJE458713 NTA458713 OCW458713 OMS458713 OWO458713 PGK458713 PQG458713 QAC458713 QJY458713 QTU458713 RDQ458713 RNM458713 RXI458713 SHE458713 SRA458713 TAW458713 TKS458713 TUO458713 UEK458713 UOG458713 UYC458713 VHY458713 VRU458713 WBQ458713 WLM458713 WVI458713 A524249 IW524249 SS524249 ACO524249 AMK524249 AWG524249 BGC524249 BPY524249 BZU524249 CJQ524249 CTM524249 DDI524249 DNE524249 DXA524249 EGW524249 EQS524249 FAO524249 FKK524249 FUG524249 GEC524249 GNY524249 GXU524249 HHQ524249 HRM524249 IBI524249 ILE524249 IVA524249 JEW524249 JOS524249 JYO524249 KIK524249 KSG524249 LCC524249 LLY524249 LVU524249 MFQ524249 MPM524249 MZI524249 NJE524249 NTA524249 OCW524249 OMS524249 OWO524249 PGK524249 PQG524249 QAC524249 QJY524249 QTU524249 RDQ524249 RNM524249 RXI524249 SHE524249 SRA524249 TAW524249 TKS524249 TUO524249 UEK524249 UOG524249 UYC524249 VHY524249 VRU524249 WBQ524249 WLM524249 WVI524249 A589785 IW589785 SS589785 ACO589785 AMK589785 AWG589785 BGC589785 BPY589785 BZU589785 CJQ589785 CTM589785 DDI589785 DNE589785 DXA589785 EGW589785 EQS589785 FAO589785 FKK589785 FUG589785 GEC589785 GNY589785 GXU589785 HHQ589785 HRM589785 IBI589785 ILE589785 IVA589785 JEW589785 JOS589785 JYO589785 KIK589785 KSG589785 LCC589785 LLY589785 LVU589785 MFQ589785 MPM589785 MZI589785 NJE589785 NTA589785 OCW589785 OMS589785 OWO589785 PGK589785 PQG589785 QAC589785 QJY589785 QTU589785 RDQ589785 RNM589785 RXI589785 SHE589785 SRA589785 TAW589785 TKS589785 TUO589785 UEK589785 UOG589785 UYC589785 VHY589785 VRU589785 WBQ589785 WLM589785 WVI589785 A655321 IW655321 SS655321 ACO655321 AMK655321 AWG655321 BGC655321 BPY655321 BZU655321 CJQ655321 CTM655321 DDI655321 DNE655321 DXA655321 EGW655321 EQS655321 FAO655321 FKK655321 FUG655321 GEC655321 GNY655321 GXU655321 HHQ655321 HRM655321 IBI655321 ILE655321 IVA655321 JEW655321 JOS655321 JYO655321 KIK655321 KSG655321 LCC655321 LLY655321 LVU655321 MFQ655321 MPM655321 MZI655321 NJE655321 NTA655321 OCW655321 OMS655321 OWO655321 PGK655321 PQG655321 QAC655321 QJY655321 QTU655321 RDQ655321 RNM655321 RXI655321 SHE655321 SRA655321 TAW655321 TKS655321 TUO655321 UEK655321 UOG655321 UYC655321 VHY655321 VRU655321 WBQ655321 WLM655321 WVI655321 A720857 IW720857 SS720857 ACO720857 AMK720857 AWG720857 BGC720857 BPY720857 BZU720857 CJQ720857 CTM720857 DDI720857 DNE720857 DXA720857 EGW720857 EQS720857 FAO720857 FKK720857 FUG720857 GEC720857 GNY720857 GXU720857 HHQ720857 HRM720857 IBI720857 ILE720857 IVA720857 JEW720857 JOS720857 JYO720857 KIK720857 KSG720857 LCC720857 LLY720857 LVU720857 MFQ720857 MPM720857 MZI720857 NJE720857 NTA720857 OCW720857 OMS720857 OWO720857 PGK720857 PQG720857 QAC720857 QJY720857 QTU720857 RDQ720857 RNM720857 RXI720857 SHE720857 SRA720857 TAW720857 TKS720857 TUO720857 UEK720857 UOG720857 UYC720857 VHY720857 VRU720857 WBQ720857 WLM720857 WVI720857 A786393 IW786393 SS786393 ACO786393 AMK786393 AWG786393 BGC786393 BPY786393 BZU786393 CJQ786393 CTM786393 DDI786393 DNE786393 DXA786393 EGW786393 EQS786393 FAO786393 FKK786393 FUG786393 GEC786393 GNY786393 GXU786393 HHQ786393 HRM786393 IBI786393 ILE786393 IVA786393 JEW786393 JOS786393 JYO786393 KIK786393 KSG786393 LCC786393 LLY786393 LVU786393 MFQ786393 MPM786393 MZI786393 NJE786393 NTA786393 OCW786393 OMS786393 OWO786393 PGK786393 PQG786393 QAC786393 QJY786393 QTU786393 RDQ786393 RNM786393 RXI786393 SHE786393 SRA786393 TAW786393 TKS786393 TUO786393 UEK786393 UOG786393 UYC786393 VHY786393 VRU786393 WBQ786393 WLM786393 WVI786393 A851929 IW851929 SS851929 ACO851929 AMK851929 AWG851929 BGC851929 BPY851929 BZU851929 CJQ851929 CTM851929 DDI851929 DNE851929 DXA851929 EGW851929 EQS851929 FAO851929 FKK851929 FUG851929 GEC851929 GNY851929 GXU851929 HHQ851929 HRM851929 IBI851929 ILE851929 IVA851929 JEW851929 JOS851929 JYO851929 KIK851929 KSG851929 LCC851929 LLY851929 LVU851929 MFQ851929 MPM851929 MZI851929 NJE851929 NTA851929 OCW851929 OMS851929 OWO851929 PGK851929 PQG851929 QAC851929 QJY851929 QTU851929 RDQ851929 RNM851929 RXI851929 SHE851929 SRA851929 TAW851929 TKS851929 TUO851929 UEK851929 UOG851929 UYC851929 VHY851929 VRU851929 WBQ851929 WLM851929 WVI851929 A917465 IW917465 SS917465 ACO917465 AMK917465 AWG917465 BGC917465 BPY917465 BZU917465 CJQ917465 CTM917465 DDI917465 DNE917465 DXA917465 EGW917465 EQS917465 FAO917465 FKK917465 FUG917465 GEC917465 GNY917465 GXU917465 HHQ917465 HRM917465 IBI917465 ILE917465 IVA917465 JEW917465 JOS917465 JYO917465 KIK917465 KSG917465 LCC917465 LLY917465 LVU917465 MFQ917465 MPM917465 MZI917465 NJE917465 NTA917465 OCW917465 OMS917465 OWO917465 PGK917465 PQG917465 QAC917465 QJY917465 QTU917465 RDQ917465 RNM917465 RXI917465 SHE917465 SRA917465 TAW917465 TKS917465 TUO917465 UEK917465 UOG917465 UYC917465 VHY917465 VRU917465 WBQ917465 WLM917465 WVI917465 A983001 IW983001 SS983001 ACO983001 AMK983001 AWG983001 BGC983001 BPY983001 BZU983001 CJQ983001 CTM983001 DDI983001 DNE983001 DXA983001 EGW983001 EQS983001 FAO983001 FKK983001 FUG983001 GEC983001 GNY983001 GXU983001 HHQ983001 HRM983001 IBI983001 ILE983001 IVA983001 JEW983001 JOS983001 JYO983001 KIK983001 KSG983001 LCC983001 LLY983001 LVU983001 MFQ983001 MPM983001 MZI983001 NJE983001 NTA983001 OCW983001 OMS983001 OWO983001 PGK983001 PQG983001 QAC983001 QJY983001 QTU983001 RDQ983001 RNM983001 RXI983001 SHE983001 SRA983001 TAW983001 TKS983001 TUO983001 UEK983001 UOG983001 UYC983001 VHY983001 VRU983001 WBQ983001 WLM983001 WVI983001" xr:uid="{6EB57EAD-8BDC-46B0-B534-C1606CDB147C}">
      <formula1>Vote</formula1>
    </dataValidation>
  </dataValidations>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1"/>
  <sheetViews>
    <sheetView view="pageBreakPreview" zoomScale="60" zoomScaleNormal="100" workbookViewId="0">
      <selection activeCell="AE27" sqref="AE27"/>
    </sheetView>
  </sheetViews>
  <sheetFormatPr defaultColWidth="9.109375" defaultRowHeight="10.199999999999999" x14ac:dyDescent="0.2"/>
  <cols>
    <col min="1" max="1" width="30.6640625" style="76" customWidth="1"/>
    <col min="2" max="2" width="3" style="497" customWidth="1"/>
    <col min="3" max="8" width="9.33203125" style="76" customWidth="1"/>
    <col min="9" max="9" width="9.109375" style="76" customWidth="1"/>
    <col min="10" max="12" width="9.33203125" style="76" customWidth="1"/>
    <col min="13" max="13" width="9.6640625" style="76" hidden="1" customWidth="1"/>
    <col min="14" max="14" width="9.44140625" style="76" hidden="1" customWidth="1"/>
    <col min="15" max="15" width="9.6640625" style="76" hidden="1" customWidth="1"/>
    <col min="16" max="18" width="9.44140625" style="76" hidden="1" customWidth="1"/>
    <col min="19" max="19" width="9.6640625" style="76" hidden="1" customWidth="1"/>
    <col min="20" max="22" width="9.44140625" style="76" hidden="1" customWidth="1"/>
    <col min="23" max="24" width="9.6640625" style="76" hidden="1" customWidth="1"/>
    <col min="25" max="16384" width="9.109375" style="76"/>
  </cols>
  <sheetData>
    <row r="1" spans="1:25" s="493" customFormat="1" ht="13.8" x14ac:dyDescent="0.3">
      <c r="A1" s="492" t="s">
        <v>906</v>
      </c>
      <c r="B1" s="492"/>
      <c r="C1" s="492"/>
      <c r="D1" s="492"/>
      <c r="E1" s="492"/>
      <c r="F1" s="492"/>
      <c r="G1" s="492"/>
      <c r="H1" s="492"/>
      <c r="I1" s="492"/>
      <c r="J1" s="492"/>
      <c r="K1" s="492"/>
      <c r="L1" s="492"/>
    </row>
    <row r="2" spans="1:25" ht="28.5" customHeight="1" x14ac:dyDescent="0.2">
      <c r="A2" s="543" t="s">
        <v>905</v>
      </c>
      <c r="B2" s="543" t="s">
        <v>907</v>
      </c>
      <c r="C2" s="550" t="s">
        <v>910</v>
      </c>
      <c r="D2" s="551"/>
      <c r="E2" s="551"/>
      <c r="F2" s="551"/>
      <c r="G2" s="551"/>
      <c r="H2" s="551"/>
      <c r="I2" s="551"/>
      <c r="J2" s="551"/>
      <c r="K2" s="494" t="s">
        <v>908</v>
      </c>
      <c r="L2" s="494" t="s">
        <v>909</v>
      </c>
      <c r="M2" s="549">
        <f>Head11</f>
        <v>0</v>
      </c>
      <c r="N2" s="549"/>
      <c r="O2" s="549"/>
      <c r="P2" s="549"/>
      <c r="Q2" s="549"/>
      <c r="R2" s="549"/>
      <c r="S2" s="549"/>
      <c r="T2" s="549"/>
      <c r="U2" s="549"/>
      <c r="V2" s="549"/>
      <c r="W2" s="549"/>
      <c r="X2" s="549"/>
    </row>
    <row r="3" spans="1:25" ht="20.399999999999999" x14ac:dyDescent="0.2">
      <c r="A3" s="544"/>
      <c r="B3" s="544"/>
      <c r="C3" s="439" t="s">
        <v>310</v>
      </c>
      <c r="D3" s="494" t="s">
        <v>885</v>
      </c>
      <c r="E3" s="494" t="s">
        <v>886</v>
      </c>
      <c r="F3" s="494" t="s">
        <v>887</v>
      </c>
      <c r="G3" s="494" t="s">
        <v>888</v>
      </c>
      <c r="H3" s="494" t="s">
        <v>889</v>
      </c>
      <c r="I3" s="494" t="s">
        <v>890</v>
      </c>
      <c r="J3" s="494" t="s">
        <v>891</v>
      </c>
      <c r="K3" s="494" t="s">
        <v>804</v>
      </c>
      <c r="L3" s="494" t="s">
        <v>804</v>
      </c>
      <c r="M3" s="495" t="s">
        <v>804</v>
      </c>
      <c r="N3" s="495" t="s">
        <v>804</v>
      </c>
      <c r="O3" s="495"/>
      <c r="P3" s="495"/>
      <c r="Q3" s="495"/>
      <c r="R3" s="495"/>
      <c r="S3" s="495"/>
      <c r="T3" s="495"/>
      <c r="U3" s="495"/>
      <c r="V3" s="495"/>
      <c r="W3" s="495"/>
      <c r="X3" s="495"/>
    </row>
    <row r="4" spans="1:25" ht="12.75" customHeight="1" x14ac:dyDescent="0.2">
      <c r="A4" s="544"/>
      <c r="B4" s="544"/>
      <c r="C4" s="498"/>
      <c r="D4" s="498">
        <v>3</v>
      </c>
      <c r="E4" s="499">
        <v>4</v>
      </c>
      <c r="F4" s="498">
        <v>5</v>
      </c>
      <c r="G4" s="498">
        <v>6</v>
      </c>
      <c r="H4" s="498">
        <v>7</v>
      </c>
      <c r="I4" s="498">
        <v>8</v>
      </c>
      <c r="J4" s="498">
        <v>9</v>
      </c>
      <c r="K4" s="498">
        <v>10</v>
      </c>
      <c r="L4" s="498"/>
      <c r="M4" s="498"/>
      <c r="N4" s="498"/>
      <c r="O4" s="498"/>
      <c r="P4" s="498"/>
      <c r="Q4" s="498"/>
      <c r="R4" s="498"/>
      <c r="S4" s="498"/>
      <c r="T4" s="498"/>
      <c r="U4" s="498"/>
      <c r="V4" s="498"/>
      <c r="W4" s="498"/>
      <c r="X4" s="498"/>
      <c r="Y4" s="500"/>
    </row>
    <row r="5" spans="1:25" ht="12.75" customHeight="1" x14ac:dyDescent="0.2">
      <c r="A5" s="501" t="s">
        <v>872</v>
      </c>
      <c r="B5" s="518">
        <v>1</v>
      </c>
      <c r="C5" s="182" t="s">
        <v>873</v>
      </c>
      <c r="D5" s="182" t="s">
        <v>874</v>
      </c>
      <c r="E5" s="182" t="s">
        <v>875</v>
      </c>
      <c r="F5" s="182" t="s">
        <v>876</v>
      </c>
      <c r="G5" s="182" t="s">
        <v>877</v>
      </c>
      <c r="H5" s="182" t="s">
        <v>878</v>
      </c>
      <c r="I5" s="182" t="s">
        <v>879</v>
      </c>
      <c r="J5" s="182" t="s">
        <v>880</v>
      </c>
      <c r="K5" s="182" t="s">
        <v>881</v>
      </c>
      <c r="L5" s="182"/>
      <c r="M5" s="92"/>
      <c r="N5" s="92"/>
      <c r="O5" s="92"/>
      <c r="P5" s="92"/>
      <c r="Q5" s="92"/>
      <c r="R5" s="92"/>
      <c r="S5" s="92"/>
      <c r="T5" s="92"/>
      <c r="U5" s="92"/>
      <c r="V5" s="92"/>
      <c r="W5" s="92"/>
      <c r="X5" s="92"/>
      <c r="Y5" s="500"/>
    </row>
    <row r="6" spans="1:25" ht="12.75" customHeight="1" x14ac:dyDescent="0.2">
      <c r="A6" s="503" t="s">
        <v>392</v>
      </c>
      <c r="B6" s="502"/>
      <c r="C6" s="182"/>
      <c r="D6" s="182"/>
      <c r="E6" s="182"/>
      <c r="F6" s="182"/>
      <c r="G6" s="182"/>
      <c r="H6" s="182"/>
      <c r="I6" s="182"/>
      <c r="J6" s="182"/>
      <c r="K6" s="182"/>
      <c r="L6" s="182"/>
      <c r="M6" s="92"/>
      <c r="N6" s="92"/>
      <c r="O6" s="92"/>
      <c r="P6" s="92"/>
      <c r="Q6" s="92"/>
      <c r="R6" s="92"/>
      <c r="S6" s="92"/>
      <c r="T6" s="92"/>
      <c r="U6" s="92"/>
      <c r="V6" s="92"/>
      <c r="W6" s="92"/>
      <c r="X6" s="92"/>
      <c r="Y6" s="500"/>
    </row>
    <row r="7" spans="1:25" ht="12.75" customHeight="1" x14ac:dyDescent="0.2">
      <c r="A7" s="503" t="s">
        <v>393</v>
      </c>
      <c r="B7" s="502">
        <v>2</v>
      </c>
      <c r="C7" s="182">
        <f>[2]SB1!C10</f>
        <v>17740178</v>
      </c>
      <c r="D7" s="182">
        <f>[2]SB1!D10</f>
        <v>0</v>
      </c>
      <c r="E7" s="182">
        <f>[2]SB1!E10</f>
        <v>0</v>
      </c>
      <c r="F7" s="182">
        <f>[2]SB1!F10</f>
        <v>0</v>
      </c>
      <c r="G7" s="182">
        <f>[2]SB1!G10</f>
        <v>0</v>
      </c>
      <c r="H7" s="182">
        <f>[2]SB1!H10</f>
        <v>0</v>
      </c>
      <c r="I7" s="182">
        <f>[2]SB1!I10</f>
        <v>0</v>
      </c>
      <c r="J7" s="182">
        <f t="shared" ref="J7:J22" si="0">SUM(E7:I7)</f>
        <v>0</v>
      </c>
      <c r="K7" s="182">
        <f t="shared" ref="K7:K22" si="1">IF(D7=0,C7+J7,D7+J7)</f>
        <v>17740178</v>
      </c>
      <c r="L7" s="182">
        <f>[2]SB1!L10</f>
        <v>18698148</v>
      </c>
      <c r="M7" s="92">
        <f>[2]SB1!M10</f>
        <v>19707848</v>
      </c>
      <c r="N7" s="92"/>
      <c r="O7" s="92"/>
      <c r="P7" s="92"/>
      <c r="Q7" s="92"/>
      <c r="R7" s="92"/>
      <c r="S7" s="92"/>
      <c r="T7" s="92"/>
      <c r="U7" s="92"/>
      <c r="V7" s="92"/>
      <c r="W7" s="92"/>
      <c r="X7" s="92"/>
      <c r="Y7" s="500"/>
    </row>
    <row r="8" spans="1:25" ht="12.75" customHeight="1" x14ac:dyDescent="0.2">
      <c r="A8" s="503" t="s">
        <v>394</v>
      </c>
      <c r="B8" s="502">
        <v>2</v>
      </c>
      <c r="C8" s="182">
        <f>[2]SB1!C16</f>
        <v>25738909</v>
      </c>
      <c r="D8" s="182">
        <f>[2]SB1!D16</f>
        <v>0</v>
      </c>
      <c r="E8" s="182">
        <f>[2]SB1!E16</f>
        <v>0</v>
      </c>
      <c r="F8" s="182">
        <f>[2]SB1!F16</f>
        <v>0</v>
      </c>
      <c r="G8" s="182">
        <f>[2]SB1!G16</f>
        <v>0</v>
      </c>
      <c r="H8" s="182">
        <f>[2]SB1!H16</f>
        <v>0</v>
      </c>
      <c r="I8" s="182">
        <f>[2]SB1!I16</f>
        <v>-11463383.03304</v>
      </c>
      <c r="J8" s="182">
        <f t="shared" si="0"/>
        <v>-11463383.03304</v>
      </c>
      <c r="K8" s="182">
        <f t="shared" si="1"/>
        <v>14275525.96696</v>
      </c>
      <c r="L8" s="182">
        <f>[2]SB1!L16</f>
        <v>13554102</v>
      </c>
      <c r="M8" s="92">
        <f>[2]SB1!M16</f>
        <v>14286022</v>
      </c>
      <c r="N8" s="92"/>
      <c r="O8" s="92"/>
      <c r="P8" s="92"/>
      <c r="Q8" s="92"/>
      <c r="R8" s="92"/>
      <c r="S8" s="92"/>
      <c r="T8" s="92"/>
      <c r="U8" s="92"/>
      <c r="V8" s="92"/>
      <c r="W8" s="92"/>
      <c r="X8" s="92"/>
      <c r="Y8" s="500"/>
    </row>
    <row r="9" spans="1:25" ht="12.75" customHeight="1" x14ac:dyDescent="0.2">
      <c r="A9" s="503" t="s">
        <v>395</v>
      </c>
      <c r="B9" s="502">
        <v>2</v>
      </c>
      <c r="C9" s="504">
        <f>[2]SB1!C22</f>
        <v>0</v>
      </c>
      <c r="D9" s="504">
        <f>[2]SB1!D22</f>
        <v>0</v>
      </c>
      <c r="E9" s="183">
        <f>[2]SB1!E22</f>
        <v>0</v>
      </c>
      <c r="F9" s="183">
        <f>[2]SB1!F22</f>
        <v>0</v>
      </c>
      <c r="G9" s="183">
        <f>[2]SB1!G22</f>
        <v>0</v>
      </c>
      <c r="H9" s="183">
        <f>[2]SB1!H22</f>
        <v>0</v>
      </c>
      <c r="I9" s="183">
        <f>[2]SB1!I22</f>
        <v>0</v>
      </c>
      <c r="J9" s="183">
        <f t="shared" si="0"/>
        <v>0</v>
      </c>
      <c r="K9" s="183">
        <f t="shared" si="1"/>
        <v>0</v>
      </c>
      <c r="L9" s="183">
        <f>[2]SB1!L22</f>
        <v>0</v>
      </c>
      <c r="M9" s="92">
        <f>[2]SB1!M22</f>
        <v>0</v>
      </c>
      <c r="N9" s="92"/>
      <c r="O9" s="92"/>
      <c r="P9" s="92"/>
      <c r="Q9" s="92"/>
      <c r="R9" s="92"/>
      <c r="S9" s="92"/>
      <c r="T9" s="92"/>
      <c r="U9" s="92"/>
      <c r="V9" s="92"/>
      <c r="W9" s="92"/>
      <c r="X9" s="92"/>
      <c r="Y9" s="500"/>
    </row>
    <row r="10" spans="1:25" ht="1.95" customHeight="1" x14ac:dyDescent="0.2">
      <c r="A10" s="503" t="s">
        <v>396</v>
      </c>
      <c r="B10" s="497">
        <v>2</v>
      </c>
      <c r="C10" s="182">
        <f>[2]SB1!C28</f>
        <v>0</v>
      </c>
      <c r="D10" s="182">
        <f>[2]SB1!D28</f>
        <v>0</v>
      </c>
      <c r="E10" s="182">
        <f>[2]SB1!E28</f>
        <v>0</v>
      </c>
      <c r="F10" s="182">
        <f>[2]SB1!F28</f>
        <v>0</v>
      </c>
      <c r="G10" s="182">
        <f>[2]SB1!G28</f>
        <v>0</v>
      </c>
      <c r="H10" s="182">
        <f>[2]SB1!H28</f>
        <v>0</v>
      </c>
      <c r="I10" s="182">
        <f>[2]SB1!I28</f>
        <v>0</v>
      </c>
      <c r="J10" s="182">
        <f t="shared" si="0"/>
        <v>0</v>
      </c>
      <c r="K10" s="182">
        <f t="shared" si="1"/>
        <v>0</v>
      </c>
      <c r="L10" s="182">
        <f>[2]SB1!L28</f>
        <v>0</v>
      </c>
      <c r="M10" s="92">
        <f>[2]SB1!M28</f>
        <v>0</v>
      </c>
      <c r="N10" s="92"/>
      <c r="O10" s="92"/>
      <c r="P10" s="92"/>
      <c r="Q10" s="92"/>
      <c r="R10" s="92"/>
      <c r="S10" s="92"/>
      <c r="T10" s="92"/>
      <c r="U10" s="92"/>
      <c r="V10" s="92"/>
      <c r="W10" s="92"/>
      <c r="X10" s="92"/>
      <c r="Y10" s="500"/>
    </row>
    <row r="11" spans="1:25" ht="12.75" customHeight="1" x14ac:dyDescent="0.2">
      <c r="A11" s="503" t="s">
        <v>397</v>
      </c>
      <c r="B11" s="497">
        <v>2</v>
      </c>
      <c r="C11" s="165">
        <f>[2]SB1!C35</f>
        <v>8672053</v>
      </c>
      <c r="D11" s="165">
        <f>[2]SB1!D35</f>
        <v>0</v>
      </c>
      <c r="E11" s="165">
        <f>[2]SB1!E35</f>
        <v>0</v>
      </c>
      <c r="F11" s="165">
        <f>[2]SB1!F35</f>
        <v>0</v>
      </c>
      <c r="G11" s="165">
        <f>[2]SB1!G35</f>
        <v>0</v>
      </c>
      <c r="H11" s="165">
        <f>[2]SB1!H35</f>
        <v>0</v>
      </c>
      <c r="I11" s="165">
        <f>[2]SB1!I35</f>
        <v>-2000000.0000000009</v>
      </c>
      <c r="J11" s="165">
        <f t="shared" si="0"/>
        <v>-2000000.0000000009</v>
      </c>
      <c r="K11" s="165">
        <f t="shared" si="1"/>
        <v>6672052.9999999991</v>
      </c>
      <c r="L11" s="165">
        <f>[2]SB1!L35</f>
        <v>7032344</v>
      </c>
      <c r="M11" s="92">
        <f>[2]SB1!M35</f>
        <v>7412091</v>
      </c>
      <c r="N11" s="92"/>
      <c r="O11" s="92"/>
      <c r="P11" s="92"/>
      <c r="Q11" s="92"/>
      <c r="R11" s="92"/>
      <c r="S11" s="92"/>
      <c r="T11" s="92"/>
      <c r="U11" s="92"/>
      <c r="V11" s="92"/>
      <c r="W11" s="92"/>
      <c r="X11" s="92"/>
    </row>
    <row r="12" spans="1:25" ht="12.75" customHeight="1" x14ac:dyDescent="0.2">
      <c r="A12" s="501"/>
      <c r="C12" s="165"/>
      <c r="D12" s="165"/>
      <c r="E12" s="165"/>
      <c r="F12" s="165"/>
      <c r="G12" s="165"/>
      <c r="H12" s="165"/>
      <c r="I12" s="165"/>
      <c r="J12" s="165"/>
      <c r="K12" s="165"/>
      <c r="L12" s="165"/>
      <c r="M12" s="92"/>
      <c r="N12" s="92"/>
      <c r="O12" s="92"/>
      <c r="P12" s="92"/>
      <c r="Q12" s="92"/>
      <c r="R12" s="92"/>
      <c r="S12" s="92"/>
      <c r="T12" s="92"/>
      <c r="U12" s="92"/>
      <c r="V12" s="92"/>
      <c r="W12" s="92"/>
      <c r="X12" s="92"/>
    </row>
    <row r="13" spans="1:25" ht="12.75" customHeight="1" x14ac:dyDescent="0.2">
      <c r="A13" s="501" t="s">
        <v>398</v>
      </c>
      <c r="C13" s="165">
        <v>1006551</v>
      </c>
      <c r="D13" s="165"/>
      <c r="E13" s="165"/>
      <c r="F13" s="165"/>
      <c r="G13" s="165"/>
      <c r="H13" s="165"/>
      <c r="I13" s="165">
        <v>-856551.25404000003</v>
      </c>
      <c r="J13" s="165">
        <f t="shared" si="0"/>
        <v>-856551.25404000003</v>
      </c>
      <c r="K13" s="165">
        <f t="shared" si="1"/>
        <v>149999.74595999997</v>
      </c>
      <c r="L13" s="165">
        <v>158100</v>
      </c>
      <c r="M13" s="92">
        <v>166637.4</v>
      </c>
      <c r="N13" s="92"/>
      <c r="O13" s="92"/>
      <c r="P13" s="92"/>
      <c r="Q13" s="92"/>
      <c r="R13" s="92"/>
      <c r="S13" s="92"/>
      <c r="T13" s="92"/>
      <c r="U13" s="92"/>
      <c r="V13" s="92"/>
      <c r="W13" s="92"/>
      <c r="X13" s="92"/>
    </row>
    <row r="14" spans="1:25" ht="12.75" customHeight="1" x14ac:dyDescent="0.2">
      <c r="A14" s="501" t="s">
        <v>399</v>
      </c>
      <c r="C14" s="188">
        <v>4754530</v>
      </c>
      <c r="D14" s="188"/>
      <c r="E14" s="188"/>
      <c r="F14" s="188"/>
      <c r="G14" s="188"/>
      <c r="H14" s="188"/>
      <c r="I14" s="188">
        <f>-4632530.24288-42000</f>
        <v>-4674530.2428799998</v>
      </c>
      <c r="J14" s="188">
        <f t="shared" si="0"/>
        <v>-4674530.2428799998</v>
      </c>
      <c r="K14" s="188">
        <f t="shared" si="1"/>
        <v>79999.757120000198</v>
      </c>
      <c r="L14" s="188">
        <v>128588</v>
      </c>
      <c r="M14" s="92">
        <v>135531.75200000001</v>
      </c>
      <c r="N14" s="92"/>
      <c r="O14" s="92"/>
      <c r="P14" s="92"/>
      <c r="Q14" s="92"/>
      <c r="R14" s="92"/>
      <c r="S14" s="92"/>
      <c r="T14" s="92"/>
      <c r="U14" s="92"/>
      <c r="V14" s="92"/>
      <c r="W14" s="92"/>
      <c r="X14" s="92"/>
    </row>
    <row r="15" spans="1:25" ht="12.75" customHeight="1" x14ac:dyDescent="0.2">
      <c r="A15" s="501" t="s">
        <v>400</v>
      </c>
      <c r="C15" s="188">
        <v>20227491</v>
      </c>
      <c r="D15" s="188"/>
      <c r="E15" s="188"/>
      <c r="F15" s="188"/>
      <c r="G15" s="188"/>
      <c r="H15" s="188"/>
      <c r="I15" s="188">
        <v>-10000000.240040001</v>
      </c>
      <c r="J15" s="188">
        <f t="shared" si="0"/>
        <v>-10000000.240040001</v>
      </c>
      <c r="K15" s="188">
        <f t="shared" si="1"/>
        <v>10227490.759959999</v>
      </c>
      <c r="L15" s="188">
        <v>10779775.514</v>
      </c>
      <c r="M15" s="92">
        <v>11361883.391756</v>
      </c>
      <c r="N15" s="92"/>
      <c r="O15" s="92"/>
      <c r="P15" s="92"/>
      <c r="Q15" s="92"/>
      <c r="R15" s="92"/>
      <c r="S15" s="92"/>
      <c r="T15" s="92"/>
      <c r="U15" s="92"/>
      <c r="V15" s="92"/>
      <c r="W15" s="92"/>
      <c r="X15" s="92"/>
    </row>
    <row r="16" spans="1:25" ht="12.75" customHeight="1" x14ac:dyDescent="0.2">
      <c r="A16" s="501" t="s">
        <v>401</v>
      </c>
      <c r="C16" s="188">
        <v>0</v>
      </c>
      <c r="D16" s="188"/>
      <c r="E16" s="188"/>
      <c r="F16" s="188"/>
      <c r="G16" s="188"/>
      <c r="H16" s="188"/>
      <c r="I16" s="188"/>
      <c r="J16" s="188">
        <f t="shared" si="0"/>
        <v>0</v>
      </c>
      <c r="K16" s="188">
        <f t="shared" si="1"/>
        <v>0</v>
      </c>
      <c r="L16" s="188">
        <v>0</v>
      </c>
      <c r="M16" s="92">
        <v>0</v>
      </c>
      <c r="N16" s="92"/>
      <c r="O16" s="92"/>
      <c r="P16" s="92"/>
      <c r="Q16" s="92"/>
      <c r="R16" s="92"/>
      <c r="S16" s="92"/>
      <c r="T16" s="92"/>
      <c r="U16" s="92"/>
      <c r="V16" s="92"/>
      <c r="W16" s="92"/>
      <c r="X16" s="92"/>
    </row>
    <row r="17" spans="1:24" ht="12.75" customHeight="1" x14ac:dyDescent="0.2">
      <c r="A17" s="503" t="s">
        <v>402</v>
      </c>
      <c r="B17" s="502"/>
      <c r="C17" s="188">
        <v>1262400</v>
      </c>
      <c r="D17" s="188"/>
      <c r="E17" s="188"/>
      <c r="F17" s="188"/>
      <c r="G17" s="188"/>
      <c r="H17" s="188"/>
      <c r="I17" s="188">
        <f>-1158298-21532</f>
        <v>-1179830</v>
      </c>
      <c r="J17" s="188">
        <f t="shared" si="0"/>
        <v>-1179830</v>
      </c>
      <c r="K17" s="188">
        <f t="shared" si="1"/>
        <v>82570</v>
      </c>
      <c r="L17" s="188">
        <v>109723.508</v>
      </c>
      <c r="M17" s="92">
        <v>115648.57743200001</v>
      </c>
      <c r="N17" s="92"/>
      <c r="O17" s="92"/>
      <c r="P17" s="92"/>
      <c r="Q17" s="92"/>
      <c r="R17" s="92"/>
      <c r="S17" s="92"/>
      <c r="T17" s="92"/>
      <c r="U17" s="92"/>
      <c r="V17" s="92"/>
      <c r="W17" s="92"/>
      <c r="X17" s="92"/>
    </row>
    <row r="18" spans="1:24" ht="12.75" customHeight="1" x14ac:dyDescent="0.2">
      <c r="A18" s="501" t="s">
        <v>403</v>
      </c>
      <c r="C18" s="188">
        <v>23864625</v>
      </c>
      <c r="D18" s="188"/>
      <c r="E18" s="188"/>
      <c r="F18" s="188"/>
      <c r="G18" s="188"/>
      <c r="H18" s="188"/>
      <c r="I18" s="188">
        <f>-10000000+1059638.76</f>
        <v>-8940361.2400000002</v>
      </c>
      <c r="J18" s="188">
        <f t="shared" si="0"/>
        <v>-8940361.2400000002</v>
      </c>
      <c r="K18" s="188">
        <f t="shared" si="1"/>
        <v>14924263.76</v>
      </c>
      <c r="L18" s="188">
        <v>14613314.624869101</v>
      </c>
      <c r="M18" s="505">
        <v>15402433.614612101</v>
      </c>
      <c r="N18" s="92"/>
      <c r="O18" s="92"/>
      <c r="P18" s="92"/>
      <c r="Q18" s="92"/>
      <c r="R18" s="92"/>
      <c r="S18" s="92"/>
      <c r="T18" s="92"/>
      <c r="U18" s="92"/>
      <c r="V18" s="92"/>
      <c r="W18" s="92"/>
      <c r="X18" s="92"/>
    </row>
    <row r="19" spans="1:24" ht="12.75" customHeight="1" x14ac:dyDescent="0.2">
      <c r="A19" s="501" t="s">
        <v>404</v>
      </c>
      <c r="C19" s="504">
        <v>2289167</v>
      </c>
      <c r="D19" s="504"/>
      <c r="E19" s="183"/>
      <c r="F19" s="183"/>
      <c r="G19" s="183"/>
      <c r="H19" s="183"/>
      <c r="I19" s="183">
        <v>472673.3</v>
      </c>
      <c r="J19" s="183">
        <f t="shared" si="0"/>
        <v>472673.3</v>
      </c>
      <c r="K19" s="183">
        <f t="shared" si="1"/>
        <v>2761840.3</v>
      </c>
      <c r="L19" s="183">
        <v>2412782.0972186401</v>
      </c>
      <c r="M19" s="505">
        <v>2543072.3304684502</v>
      </c>
      <c r="N19" s="92"/>
      <c r="O19" s="92"/>
      <c r="P19" s="92"/>
      <c r="Q19" s="92"/>
      <c r="R19" s="92"/>
      <c r="S19" s="92"/>
      <c r="T19" s="92"/>
      <c r="U19" s="92"/>
      <c r="V19" s="92"/>
      <c r="W19" s="92"/>
      <c r="X19" s="92"/>
    </row>
    <row r="20" spans="1:24" ht="12.75" customHeight="1" x14ac:dyDescent="0.2">
      <c r="A20" s="501" t="s">
        <v>405</v>
      </c>
      <c r="C20" s="188">
        <f>281624000+5000000</f>
        <v>286624000</v>
      </c>
      <c r="D20" s="165"/>
      <c r="E20" s="165"/>
      <c r="F20" s="165"/>
      <c r="G20" s="165"/>
      <c r="H20" s="165"/>
      <c r="I20" s="165">
        <v>298000</v>
      </c>
      <c r="J20" s="165">
        <f t="shared" si="0"/>
        <v>298000</v>
      </c>
      <c r="K20" s="165">
        <f t="shared" si="1"/>
        <v>286922000</v>
      </c>
      <c r="L20" s="165">
        <v>300105000</v>
      </c>
      <c r="M20" s="505">
        <v>321890000</v>
      </c>
      <c r="N20" s="92"/>
      <c r="O20" s="92"/>
      <c r="P20" s="92"/>
      <c r="Q20" s="92"/>
      <c r="R20" s="92"/>
      <c r="S20" s="92"/>
      <c r="T20" s="92"/>
      <c r="U20" s="92"/>
      <c r="V20" s="92"/>
      <c r="W20" s="92"/>
      <c r="X20" s="92"/>
    </row>
    <row r="21" spans="1:24" ht="24" customHeight="1" x14ac:dyDescent="0.2">
      <c r="A21" s="506" t="s">
        <v>406</v>
      </c>
      <c r="B21" s="507">
        <v>2</v>
      </c>
      <c r="C21" s="508">
        <f>[2]SB1!C50</f>
        <v>14747535</v>
      </c>
      <c r="D21" s="508">
        <f>[2]SB1!D50</f>
        <v>0</v>
      </c>
      <c r="E21" s="508">
        <f>[2]SB1!E50</f>
        <v>0</v>
      </c>
      <c r="F21" s="508">
        <f>[2]SB1!F50</f>
        <v>0</v>
      </c>
      <c r="G21" s="508">
        <f>[2]SB1!G50</f>
        <v>0</v>
      </c>
      <c r="H21" s="508">
        <f>[2]SB1!H50</f>
        <v>0</v>
      </c>
      <c r="I21" s="508">
        <f>[2]SB1!I50</f>
        <v>-5239762.9478400005</v>
      </c>
      <c r="J21" s="508">
        <f t="shared" si="0"/>
        <v>-5239762.9478400005</v>
      </c>
      <c r="K21" s="508">
        <f t="shared" si="1"/>
        <v>9507772.0521599986</v>
      </c>
      <c r="L21" s="508">
        <f>[2]SB1!L50</f>
        <v>4332464.6439748798</v>
      </c>
      <c r="M21" s="91">
        <f>[2]SB1!M50</f>
        <v>4883495.2707495205</v>
      </c>
      <c r="N21" s="91"/>
      <c r="O21" s="91"/>
      <c r="P21" s="91"/>
      <c r="Q21" s="91"/>
      <c r="R21" s="91"/>
      <c r="S21" s="91"/>
      <c r="T21" s="91"/>
      <c r="U21" s="91"/>
      <c r="V21" s="91"/>
      <c r="W21" s="91"/>
      <c r="X21" s="91"/>
    </row>
    <row r="22" spans="1:24" ht="4.95" customHeight="1" x14ac:dyDescent="0.2">
      <c r="A22" s="509" t="s">
        <v>407</v>
      </c>
      <c r="C22" s="183">
        <v>607004</v>
      </c>
      <c r="D22" s="183"/>
      <c r="E22" s="183"/>
      <c r="F22" s="183"/>
      <c r="G22" s="183"/>
      <c r="H22" s="183"/>
      <c r="I22" s="183">
        <v>0</v>
      </c>
      <c r="J22" s="183">
        <f t="shared" si="0"/>
        <v>0</v>
      </c>
      <c r="K22" s="183">
        <f t="shared" si="1"/>
        <v>607004</v>
      </c>
      <c r="L22" s="183">
        <v>639782.21600000001</v>
      </c>
      <c r="M22" s="92">
        <v>674330.45566400001</v>
      </c>
      <c r="N22" s="92"/>
      <c r="O22" s="92"/>
      <c r="P22" s="92"/>
      <c r="Q22" s="92"/>
      <c r="R22" s="92"/>
      <c r="S22" s="92"/>
      <c r="T22" s="92"/>
      <c r="U22" s="92"/>
      <c r="V22" s="92"/>
      <c r="W22" s="92"/>
      <c r="X22" s="92"/>
    </row>
    <row r="23" spans="1:24" ht="11.25" customHeight="1" x14ac:dyDescent="0.2">
      <c r="A23" s="496" t="s">
        <v>408</v>
      </c>
      <c r="B23" s="510"/>
      <c r="C23" s="183">
        <f>SUM(C7:C11)+SUM(C13:C22)</f>
        <v>407534443</v>
      </c>
      <c r="D23" s="183">
        <f t="shared" ref="D23:I23" si="2">SUM(D7:D11)+SUM(D13:D22)</f>
        <v>0</v>
      </c>
      <c r="E23" s="183">
        <f t="shared" si="2"/>
        <v>0</v>
      </c>
      <c r="F23" s="183">
        <f t="shared" si="2"/>
        <v>0</v>
      </c>
      <c r="G23" s="183">
        <f t="shared" si="2"/>
        <v>0</v>
      </c>
      <c r="H23" s="183">
        <f t="shared" si="2"/>
        <v>0</v>
      </c>
      <c r="I23" s="183">
        <f t="shared" si="2"/>
        <v>-43583745.657840006</v>
      </c>
      <c r="J23" s="183">
        <f>SUM(J7:J11)+SUM(J13:J22)</f>
        <v>-43583745.657840006</v>
      </c>
      <c r="K23" s="183">
        <f>SUM(K7:K11)+SUM(K13:K22)</f>
        <v>363950697.34216005</v>
      </c>
      <c r="L23" s="183">
        <f>SUM(L7:L11)+SUM(L13:L22)</f>
        <v>372564124.60406268</v>
      </c>
      <c r="M23" s="92">
        <f>SUM(M7:M11)+SUM(M13:M22)</f>
        <v>398578993.79268205</v>
      </c>
      <c r="N23" s="92"/>
      <c r="O23" s="92"/>
      <c r="P23" s="92"/>
      <c r="Q23" s="92"/>
      <c r="R23" s="92"/>
      <c r="S23" s="92"/>
      <c r="T23" s="92"/>
      <c r="U23" s="92"/>
      <c r="V23" s="92"/>
      <c r="W23" s="92"/>
      <c r="X23" s="92"/>
    </row>
    <row r="24" spans="1:24" ht="11.25" customHeight="1" x14ac:dyDescent="0.2">
      <c r="A24" s="503"/>
      <c r="B24" s="502"/>
      <c r="C24" s="183"/>
      <c r="D24" s="504"/>
      <c r="E24" s="183"/>
      <c r="F24" s="183"/>
      <c r="G24" s="183"/>
      <c r="H24" s="183"/>
      <c r="I24" s="183"/>
      <c r="J24" s="183"/>
      <c r="K24" s="183"/>
      <c r="L24" s="183"/>
      <c r="M24" s="92"/>
      <c r="N24" s="92"/>
      <c r="O24" s="92"/>
      <c r="P24" s="92"/>
      <c r="Q24" s="92"/>
      <c r="R24" s="92"/>
      <c r="S24" s="92"/>
      <c r="T24" s="92"/>
      <c r="U24" s="92"/>
      <c r="V24" s="92"/>
      <c r="W24" s="92"/>
      <c r="X24" s="92"/>
    </row>
    <row r="25" spans="1:24" ht="11.25" customHeight="1" x14ac:dyDescent="0.2">
      <c r="A25" s="503" t="s">
        <v>409</v>
      </c>
      <c r="B25" s="502"/>
      <c r="C25" s="165"/>
      <c r="D25" s="165"/>
      <c r="E25" s="165"/>
      <c r="F25" s="165"/>
      <c r="G25" s="165"/>
      <c r="H25" s="165"/>
      <c r="I25" s="165"/>
      <c r="J25" s="165"/>
      <c r="K25" s="165"/>
      <c r="L25" s="165"/>
      <c r="M25" s="92"/>
      <c r="N25" s="92"/>
      <c r="O25" s="92"/>
      <c r="P25" s="92"/>
      <c r="Q25" s="92"/>
      <c r="R25" s="92"/>
      <c r="S25" s="92"/>
      <c r="T25" s="92"/>
      <c r="U25" s="92"/>
      <c r="V25" s="92"/>
      <c r="W25" s="92"/>
      <c r="X25" s="92"/>
    </row>
    <row r="26" spans="1:24" ht="11.25" customHeight="1" x14ac:dyDescent="0.2">
      <c r="A26" s="503" t="s">
        <v>410</v>
      </c>
      <c r="B26" s="502"/>
      <c r="C26" s="165">
        <f>[2]SB1!C68</f>
        <v>107636135</v>
      </c>
      <c r="D26" s="165">
        <f>[2]SB1!D68</f>
        <v>0</v>
      </c>
      <c r="E26" s="165">
        <f>[2]SB1!E68</f>
        <v>0</v>
      </c>
      <c r="F26" s="165">
        <f>[2]SB1!F68</f>
        <v>0</v>
      </c>
      <c r="G26" s="165">
        <f>[2]SB1!G68</f>
        <v>0</v>
      </c>
      <c r="H26" s="165">
        <f>[2]SB1!H68</f>
        <v>0</v>
      </c>
      <c r="I26" s="165">
        <f>[2]SB1!I68</f>
        <v>-2896939.9600000046</v>
      </c>
      <c r="J26" s="165">
        <f t="shared" ref="J26:J36" si="3">SUM(E26:I26)</f>
        <v>-2896939.9600000046</v>
      </c>
      <c r="K26" s="165">
        <f t="shared" ref="K26:K36" si="4">IF(D26=0,C26+J26,D26+J26)</f>
        <v>104739195.03999999</v>
      </c>
      <c r="L26" s="165">
        <f>[2]SB1!L68</f>
        <v>113743882.14451401</v>
      </c>
      <c r="M26" s="92">
        <f>[2]SB1!M68</f>
        <v>121592209.08348545</v>
      </c>
      <c r="N26" s="92"/>
      <c r="O26" s="92"/>
      <c r="P26" s="92"/>
      <c r="Q26" s="92"/>
      <c r="R26" s="92"/>
      <c r="S26" s="92"/>
      <c r="T26" s="92"/>
      <c r="U26" s="92"/>
      <c r="V26" s="92"/>
      <c r="W26" s="92"/>
      <c r="X26" s="92"/>
    </row>
    <row r="27" spans="1:24" ht="11.25" customHeight="1" x14ac:dyDescent="0.2">
      <c r="A27" s="503" t="s">
        <v>411</v>
      </c>
      <c r="B27" s="502"/>
      <c r="C27" s="183">
        <v>24071901</v>
      </c>
      <c r="D27" s="504"/>
      <c r="E27" s="183"/>
      <c r="F27" s="183"/>
      <c r="G27" s="183"/>
      <c r="H27" s="183"/>
      <c r="I27" s="183"/>
      <c r="J27" s="183">
        <f t="shared" si="3"/>
        <v>0</v>
      </c>
      <c r="K27" s="183">
        <f t="shared" si="4"/>
        <v>24071901</v>
      </c>
      <c r="L27" s="183">
        <v>25371783.730393924</v>
      </c>
      <c r="M27" s="505">
        <v>26741860.051835198</v>
      </c>
      <c r="N27" s="505"/>
      <c r="O27" s="505"/>
      <c r="P27" s="505"/>
      <c r="Q27" s="505"/>
      <c r="R27" s="505"/>
      <c r="S27" s="505"/>
      <c r="T27" s="505"/>
      <c r="U27" s="505"/>
      <c r="V27" s="505"/>
      <c r="W27" s="505"/>
      <c r="X27" s="505"/>
    </row>
    <row r="28" spans="1:24" ht="11.25" customHeight="1" x14ac:dyDescent="0.2">
      <c r="A28" s="503" t="s">
        <v>412</v>
      </c>
      <c r="B28" s="502"/>
      <c r="C28" s="165">
        <v>2058364</v>
      </c>
      <c r="D28" s="165"/>
      <c r="E28" s="165"/>
      <c r="F28" s="165"/>
      <c r="G28" s="165"/>
      <c r="H28" s="165"/>
      <c r="I28" s="165"/>
      <c r="J28" s="165">
        <f t="shared" si="3"/>
        <v>0</v>
      </c>
      <c r="K28" s="165">
        <f t="shared" si="4"/>
        <v>2058364</v>
      </c>
      <c r="L28" s="165">
        <v>2169516.11963352</v>
      </c>
      <c r="M28" s="92">
        <v>2286669.9900937304</v>
      </c>
      <c r="N28" s="92"/>
      <c r="O28" s="92"/>
      <c r="P28" s="92"/>
      <c r="Q28" s="92"/>
      <c r="R28" s="92"/>
      <c r="S28" s="92"/>
      <c r="T28" s="92"/>
      <c r="U28" s="92"/>
      <c r="V28" s="92"/>
      <c r="W28" s="92"/>
      <c r="X28" s="92"/>
    </row>
    <row r="29" spans="1:24" ht="11.25" customHeight="1" x14ac:dyDescent="0.2">
      <c r="A29" s="503" t="s">
        <v>413</v>
      </c>
      <c r="B29" s="502"/>
      <c r="C29" s="183">
        <f>[2]SB1!C84</f>
        <v>6251207</v>
      </c>
      <c r="D29" s="504">
        <f>[2]SB1!D84</f>
        <v>0</v>
      </c>
      <c r="E29" s="183">
        <f>[2]SB1!E84</f>
        <v>0</v>
      </c>
      <c r="F29" s="183">
        <f>[2]SB1!F84</f>
        <v>0</v>
      </c>
      <c r="G29" s="183">
        <f>[2]SB1!G84</f>
        <v>0</v>
      </c>
      <c r="H29" s="183">
        <f>[2]SB1!H84</f>
        <v>0</v>
      </c>
      <c r="I29" s="183">
        <f>[2]SB1!I84</f>
        <v>-4362919.4175999993</v>
      </c>
      <c r="J29" s="183">
        <f t="shared" si="3"/>
        <v>-4362919.4175999993</v>
      </c>
      <c r="K29" s="183">
        <f t="shared" si="4"/>
        <v>1888287.5824000007</v>
      </c>
      <c r="L29" s="183">
        <f>[2]SB1!L84</f>
        <v>6588771</v>
      </c>
      <c r="M29" s="92">
        <f>[2]SB1!M84</f>
        <v>6944565</v>
      </c>
      <c r="N29" s="92"/>
      <c r="O29" s="92"/>
      <c r="P29" s="92"/>
      <c r="Q29" s="92"/>
      <c r="R29" s="92"/>
      <c r="S29" s="92"/>
      <c r="T29" s="92"/>
      <c r="U29" s="92"/>
      <c r="V29" s="92"/>
      <c r="W29" s="92"/>
      <c r="X29" s="92"/>
    </row>
    <row r="30" spans="1:24" ht="11.25" customHeight="1" x14ac:dyDescent="0.2">
      <c r="A30" s="503" t="s">
        <v>414</v>
      </c>
      <c r="B30" s="502"/>
      <c r="C30" s="188"/>
      <c r="D30" s="188"/>
      <c r="E30" s="188"/>
      <c r="F30" s="188"/>
      <c r="G30" s="188"/>
      <c r="H30" s="188"/>
      <c r="I30" s="188"/>
      <c r="J30" s="188">
        <f t="shared" si="3"/>
        <v>0</v>
      </c>
      <c r="K30" s="188">
        <f t="shared" si="4"/>
        <v>0</v>
      </c>
      <c r="L30" s="188"/>
      <c r="M30" s="92"/>
      <c r="N30" s="92"/>
      <c r="O30" s="92"/>
      <c r="P30" s="92"/>
      <c r="Q30" s="92"/>
      <c r="R30" s="92"/>
      <c r="S30" s="92"/>
      <c r="T30" s="92"/>
      <c r="U30" s="92"/>
      <c r="V30" s="92"/>
      <c r="W30" s="92"/>
      <c r="X30" s="92"/>
    </row>
    <row r="31" spans="1:24" ht="11.25" customHeight="1" x14ac:dyDescent="0.2">
      <c r="A31" s="503" t="s">
        <v>415</v>
      </c>
      <c r="B31" s="502"/>
      <c r="C31" s="183">
        <f>[2]SB1!C89</f>
        <v>17985580</v>
      </c>
      <c r="D31" s="504">
        <f>[2]SB1!D89</f>
        <v>0</v>
      </c>
      <c r="E31" s="183">
        <f>[2]SB1!E89</f>
        <v>0</v>
      </c>
      <c r="F31" s="183">
        <f>[2]SB1!F89</f>
        <v>0</v>
      </c>
      <c r="G31" s="183">
        <f>[2]SB1!G89</f>
        <v>0</v>
      </c>
      <c r="H31" s="183">
        <f>[2]SB1!H89</f>
        <v>0</v>
      </c>
      <c r="I31" s="183">
        <f>[2]SB1!I89</f>
        <v>568971.65</v>
      </c>
      <c r="J31" s="183">
        <f t="shared" si="3"/>
        <v>568971.65</v>
      </c>
      <c r="K31" s="183">
        <f t="shared" si="4"/>
        <v>18554551.649999999</v>
      </c>
      <c r="L31" s="183">
        <f>[2]SB1!L89</f>
        <v>18956801</v>
      </c>
      <c r="M31" s="92">
        <f>[2]SB1!M89</f>
        <v>19980468</v>
      </c>
      <c r="N31" s="92"/>
      <c r="O31" s="92"/>
      <c r="P31" s="92"/>
      <c r="Q31" s="92"/>
      <c r="R31" s="92"/>
      <c r="S31" s="92"/>
      <c r="T31" s="92"/>
      <c r="U31" s="92"/>
      <c r="V31" s="92"/>
      <c r="W31" s="92"/>
      <c r="X31" s="92"/>
    </row>
    <row r="32" spans="1:24" ht="11.25" customHeight="1" x14ac:dyDescent="0.2">
      <c r="A32" s="501" t="s">
        <v>416</v>
      </c>
      <c r="B32" s="502"/>
      <c r="C32" s="182"/>
      <c r="D32" s="182"/>
      <c r="E32" s="182"/>
      <c r="F32" s="182"/>
      <c r="G32" s="182"/>
      <c r="H32" s="182"/>
      <c r="I32" s="182"/>
      <c r="J32" s="182">
        <f t="shared" si="3"/>
        <v>0</v>
      </c>
      <c r="K32" s="182">
        <f t="shared" si="4"/>
        <v>0</v>
      </c>
      <c r="L32" s="182"/>
      <c r="M32" s="92"/>
      <c r="N32" s="92"/>
      <c r="O32" s="92"/>
      <c r="P32" s="92"/>
      <c r="Q32" s="92"/>
      <c r="R32" s="92"/>
      <c r="S32" s="92"/>
      <c r="T32" s="92"/>
      <c r="U32" s="92"/>
      <c r="V32" s="92"/>
      <c r="W32" s="92"/>
      <c r="X32" s="92"/>
    </row>
    <row r="33" spans="1:24" ht="11.25" customHeight="1" x14ac:dyDescent="0.2">
      <c r="A33" s="503" t="s">
        <v>417</v>
      </c>
      <c r="B33" s="502"/>
      <c r="C33" s="183">
        <f>[2]SB1!C128</f>
        <v>19459626.09</v>
      </c>
      <c r="D33" s="504">
        <f>[2]SB1!D128</f>
        <v>0</v>
      </c>
      <c r="E33" s="183">
        <f>[2]SB1!E128</f>
        <v>0</v>
      </c>
      <c r="F33" s="183">
        <f>[2]SB1!F128</f>
        <v>0</v>
      </c>
      <c r="G33" s="183">
        <f>[2]SB1!G128</f>
        <v>0</v>
      </c>
      <c r="H33" s="183">
        <f>[2]SB1!H128</f>
        <v>0</v>
      </c>
      <c r="I33" s="183">
        <f>[2]SB1!I128</f>
        <v>11849638.096439999</v>
      </c>
      <c r="J33" s="183">
        <f t="shared" si="3"/>
        <v>11849638.096439999</v>
      </c>
      <c r="K33" s="183">
        <f t="shared" si="4"/>
        <v>31309264.186439998</v>
      </c>
      <c r="L33" s="183">
        <f>[2]SB1!L128</f>
        <v>20510449</v>
      </c>
      <c r="M33" s="92">
        <f>[2]SB1!M128</f>
        <v>21618010</v>
      </c>
      <c r="N33" s="92"/>
      <c r="O33" s="92"/>
      <c r="P33" s="92"/>
      <c r="Q33" s="92"/>
      <c r="R33" s="92"/>
      <c r="S33" s="92"/>
      <c r="T33" s="92"/>
      <c r="U33" s="92"/>
      <c r="V33" s="92"/>
      <c r="W33" s="92"/>
      <c r="X33" s="92"/>
    </row>
    <row r="34" spans="1:24" ht="11.25" customHeight="1" x14ac:dyDescent="0.2">
      <c r="A34" s="501" t="s">
        <v>405</v>
      </c>
      <c r="C34" s="188"/>
      <c r="D34" s="188"/>
      <c r="E34" s="165"/>
      <c r="F34" s="188"/>
      <c r="G34" s="188"/>
      <c r="H34" s="165"/>
      <c r="I34" s="165"/>
      <c r="J34" s="188">
        <f t="shared" si="3"/>
        <v>0</v>
      </c>
      <c r="K34" s="188">
        <f t="shared" si="4"/>
        <v>0</v>
      </c>
      <c r="L34" s="188"/>
      <c r="M34" s="92"/>
      <c r="N34" s="92"/>
      <c r="O34" s="92"/>
      <c r="P34" s="92"/>
      <c r="Q34" s="92"/>
      <c r="R34" s="92"/>
      <c r="S34" s="92"/>
      <c r="T34" s="92"/>
      <c r="U34" s="92"/>
      <c r="V34" s="92"/>
      <c r="W34" s="92"/>
      <c r="X34" s="92"/>
    </row>
    <row r="35" spans="1:24" ht="11.25" customHeight="1" x14ac:dyDescent="0.2">
      <c r="A35" s="511" t="s">
        <v>418</v>
      </c>
      <c r="B35" s="507"/>
      <c r="C35" s="508">
        <f>[2]SB1!C158</f>
        <v>136325409</v>
      </c>
      <c r="D35" s="508">
        <f>[2]SB1!D158</f>
        <v>0</v>
      </c>
      <c r="E35" s="508">
        <f>[2]SB1!E158</f>
        <v>0</v>
      </c>
      <c r="F35" s="508">
        <f>[2]SB1!F158</f>
        <v>0</v>
      </c>
      <c r="G35" s="508">
        <f>[2]SB1!G158</f>
        <v>0</v>
      </c>
      <c r="H35" s="508">
        <f>[2]SB1!H158</f>
        <v>0</v>
      </c>
      <c r="I35" s="508">
        <f>[2]SB1!I158</f>
        <v>-9809789.2674399</v>
      </c>
      <c r="J35" s="508">
        <f t="shared" si="3"/>
        <v>-9809789.2674399</v>
      </c>
      <c r="K35" s="508">
        <f t="shared" si="4"/>
        <v>126515619.7325601</v>
      </c>
      <c r="L35" s="508">
        <f>[2]SB1!L158</f>
        <v>109812749</v>
      </c>
      <c r="M35" s="91">
        <f>[2]SB1!M158</f>
        <v>115809220</v>
      </c>
      <c r="N35" s="91"/>
      <c r="O35" s="91"/>
      <c r="P35" s="91"/>
      <c r="Q35" s="91"/>
      <c r="R35" s="91"/>
      <c r="S35" s="91"/>
      <c r="T35" s="91"/>
      <c r="U35" s="91"/>
      <c r="V35" s="91"/>
      <c r="W35" s="91"/>
      <c r="X35" s="91"/>
    </row>
    <row r="36" spans="1:24" ht="4.95" customHeight="1" x14ac:dyDescent="0.2">
      <c r="A36" s="509" t="s">
        <v>419</v>
      </c>
      <c r="C36" s="168"/>
      <c r="D36" s="168"/>
      <c r="E36" s="168"/>
      <c r="F36" s="168"/>
      <c r="G36" s="168"/>
      <c r="H36" s="168"/>
      <c r="I36" s="168"/>
      <c r="J36" s="168">
        <f t="shared" si="3"/>
        <v>0</v>
      </c>
      <c r="K36" s="168">
        <f t="shared" si="4"/>
        <v>0</v>
      </c>
      <c r="L36" s="168"/>
      <c r="M36" s="91"/>
      <c r="N36" s="91"/>
      <c r="O36" s="91"/>
      <c r="P36" s="91"/>
      <c r="Q36" s="91"/>
      <c r="R36" s="91"/>
      <c r="S36" s="91"/>
      <c r="T36" s="91"/>
      <c r="U36" s="91"/>
      <c r="V36" s="91"/>
      <c r="W36" s="91"/>
      <c r="X36" s="91"/>
    </row>
    <row r="37" spans="1:24" ht="12" customHeight="1" x14ac:dyDescent="0.2">
      <c r="A37" s="512" t="s">
        <v>420</v>
      </c>
      <c r="C37" s="168">
        <f t="shared" ref="C37:M37" si="5">SUM(C26:C36)</f>
        <v>313788222.09000003</v>
      </c>
      <c r="D37" s="168">
        <f t="shared" si="5"/>
        <v>0</v>
      </c>
      <c r="E37" s="168">
        <f t="shared" si="5"/>
        <v>0</v>
      </c>
      <c r="F37" s="168">
        <f t="shared" si="5"/>
        <v>0</v>
      </c>
      <c r="G37" s="168">
        <f t="shared" si="5"/>
        <v>0</v>
      </c>
      <c r="H37" s="168">
        <f t="shared" si="5"/>
        <v>0</v>
      </c>
      <c r="I37" s="168">
        <f t="shared" si="5"/>
        <v>-4651038.898599905</v>
      </c>
      <c r="J37" s="168">
        <f t="shared" si="5"/>
        <v>-4651038.898599905</v>
      </c>
      <c r="K37" s="168">
        <f t="shared" si="5"/>
        <v>309137183.19140005</v>
      </c>
      <c r="L37" s="168">
        <f t="shared" si="5"/>
        <v>297153951.99454147</v>
      </c>
      <c r="M37" s="91">
        <f t="shared" si="5"/>
        <v>314973002.12541437</v>
      </c>
      <c r="N37" s="91"/>
      <c r="O37" s="91"/>
      <c r="P37" s="91"/>
      <c r="Q37" s="91"/>
      <c r="R37" s="91"/>
      <c r="S37" s="91"/>
      <c r="T37" s="91"/>
      <c r="U37" s="91"/>
      <c r="V37" s="91"/>
      <c r="W37" s="91"/>
      <c r="X37" s="91"/>
    </row>
    <row r="38" spans="1:24" ht="22.95" customHeight="1" x14ac:dyDescent="0.2">
      <c r="A38" s="513"/>
      <c r="C38" s="165"/>
      <c r="D38" s="165"/>
      <c r="E38" s="165"/>
      <c r="F38" s="165"/>
      <c r="G38" s="165"/>
      <c r="H38" s="165"/>
      <c r="I38" s="165"/>
      <c r="J38" s="165"/>
      <c r="K38" s="165"/>
      <c r="L38" s="165"/>
      <c r="M38" s="92"/>
      <c r="N38" s="92"/>
      <c r="O38" s="92"/>
      <c r="P38" s="92"/>
      <c r="Q38" s="92"/>
      <c r="R38" s="92"/>
      <c r="S38" s="92"/>
      <c r="T38" s="92"/>
      <c r="U38" s="92"/>
      <c r="V38" s="92"/>
      <c r="W38" s="92"/>
      <c r="X38" s="92"/>
    </row>
    <row r="39" spans="1:24" ht="24" customHeight="1" x14ac:dyDescent="0.2">
      <c r="A39" s="513" t="s">
        <v>421</v>
      </c>
      <c r="C39" s="183">
        <f t="shared" ref="C39:M39" si="6">C23-C37</f>
        <v>93746220.909999967</v>
      </c>
      <c r="D39" s="504">
        <f t="shared" si="6"/>
        <v>0</v>
      </c>
      <c r="E39" s="183">
        <f t="shared" si="6"/>
        <v>0</v>
      </c>
      <c r="F39" s="183">
        <f t="shared" si="6"/>
        <v>0</v>
      </c>
      <c r="G39" s="183">
        <f t="shared" si="6"/>
        <v>0</v>
      </c>
      <c r="H39" s="183">
        <f t="shared" si="6"/>
        <v>0</v>
      </c>
      <c r="I39" s="183">
        <f t="shared" si="6"/>
        <v>-38932706.759240098</v>
      </c>
      <c r="J39" s="183">
        <f t="shared" si="6"/>
        <v>-38932706.759240098</v>
      </c>
      <c r="K39" s="183">
        <f t="shared" si="6"/>
        <v>54813514.150759995</v>
      </c>
      <c r="L39" s="183">
        <f t="shared" si="6"/>
        <v>75410172.60952121</v>
      </c>
      <c r="M39" s="92">
        <f t="shared" si="6"/>
        <v>83605991.66726768</v>
      </c>
      <c r="N39" s="92"/>
      <c r="O39" s="92"/>
      <c r="P39" s="92"/>
      <c r="Q39" s="92"/>
      <c r="R39" s="92"/>
      <c r="S39" s="92"/>
      <c r="T39" s="92"/>
      <c r="U39" s="92"/>
      <c r="V39" s="92"/>
      <c r="W39" s="92"/>
      <c r="X39" s="92"/>
    </row>
    <row r="40" spans="1:24" ht="11.25" customHeight="1" x14ac:dyDescent="0.2">
      <c r="A40" s="501" t="s">
        <v>422</v>
      </c>
      <c r="C40" s="188">
        <v>57608000</v>
      </c>
      <c r="D40" s="165"/>
      <c r="E40" s="165"/>
      <c r="F40" s="514"/>
      <c r="G40" s="514"/>
      <c r="H40" s="514"/>
      <c r="I40" s="165">
        <v>0</v>
      </c>
      <c r="J40" s="514">
        <f>SUM(E40:I40)</f>
        <v>0</v>
      </c>
      <c r="K40" s="514">
        <f>IF(D40=0,C40+J40,D40+J40)</f>
        <v>57608000</v>
      </c>
      <c r="L40" s="514">
        <f>60783000</f>
        <v>60783000</v>
      </c>
      <c r="M40" s="92">
        <f>65351000</f>
        <v>65351000</v>
      </c>
      <c r="N40" s="92"/>
      <c r="O40" s="92"/>
      <c r="P40" s="92"/>
      <c r="Q40" s="92"/>
      <c r="R40" s="92"/>
      <c r="S40" s="92"/>
      <c r="T40" s="92"/>
      <c r="U40" s="92"/>
      <c r="V40" s="92"/>
      <c r="W40" s="92"/>
      <c r="X40" s="92"/>
    </row>
    <row r="41" spans="1:24" ht="51" x14ac:dyDescent="0.2">
      <c r="A41" s="515" t="s">
        <v>423</v>
      </c>
      <c r="C41" s="508"/>
      <c r="D41" s="508"/>
      <c r="E41" s="508"/>
      <c r="F41" s="508"/>
      <c r="G41" s="508"/>
      <c r="H41" s="508"/>
      <c r="I41" s="508"/>
      <c r="J41" s="508">
        <f>SUM(E41:I41)</f>
        <v>0</v>
      </c>
      <c r="K41" s="508">
        <f>IF(D41=0,C41+J41,D41+J41)</f>
        <v>0</v>
      </c>
      <c r="L41" s="508"/>
      <c r="M41" s="92"/>
      <c r="N41" s="92"/>
      <c r="O41" s="92"/>
      <c r="P41" s="92"/>
      <c r="Q41" s="92"/>
      <c r="R41" s="92"/>
      <c r="S41" s="92"/>
      <c r="T41" s="92"/>
      <c r="U41" s="92"/>
      <c r="V41" s="92"/>
      <c r="W41" s="92"/>
      <c r="X41" s="92"/>
    </row>
    <row r="42" spans="1:24" ht="11.25" customHeight="1" x14ac:dyDescent="0.2">
      <c r="A42" s="501" t="s">
        <v>424</v>
      </c>
      <c r="C42" s="188"/>
      <c r="D42" s="188"/>
      <c r="E42" s="188"/>
      <c r="F42" s="188"/>
      <c r="G42" s="188"/>
      <c r="H42" s="188"/>
      <c r="I42" s="188">
        <v>4285000</v>
      </c>
      <c r="J42" s="188">
        <f>SUM(E42:I42)</f>
        <v>4285000</v>
      </c>
      <c r="K42" s="188">
        <f>IF(D42=0,C42+J42,D42+J42)</f>
        <v>4285000</v>
      </c>
      <c r="L42" s="188">
        <v>7000000</v>
      </c>
      <c r="M42" s="92">
        <v>7000000</v>
      </c>
      <c r="N42" s="92"/>
      <c r="O42" s="92"/>
      <c r="P42" s="92"/>
      <c r="Q42" s="92"/>
      <c r="R42" s="92"/>
      <c r="S42" s="92"/>
      <c r="T42" s="92"/>
      <c r="U42" s="92"/>
      <c r="V42" s="92"/>
      <c r="W42" s="92"/>
      <c r="X42" s="92"/>
    </row>
    <row r="43" spans="1:24" ht="11.25" customHeight="1" x14ac:dyDescent="0.2">
      <c r="A43" s="516" t="s">
        <v>893</v>
      </c>
      <c r="C43" s="168">
        <f t="shared" ref="C43:M43" si="7">SUM(C39:C42)</f>
        <v>151354220.90999997</v>
      </c>
      <c r="D43" s="168">
        <f t="shared" si="7"/>
        <v>0</v>
      </c>
      <c r="E43" s="168">
        <f t="shared" si="7"/>
        <v>0</v>
      </c>
      <c r="F43" s="168">
        <f t="shared" si="7"/>
        <v>0</v>
      </c>
      <c r="G43" s="168">
        <f t="shared" si="7"/>
        <v>0</v>
      </c>
      <c r="H43" s="168">
        <f t="shared" si="7"/>
        <v>0</v>
      </c>
      <c r="I43" s="168">
        <f t="shared" si="7"/>
        <v>-34647706.759240098</v>
      </c>
      <c r="J43" s="168">
        <f t="shared" si="7"/>
        <v>-34647706.759240098</v>
      </c>
      <c r="K43" s="168">
        <f t="shared" si="7"/>
        <v>116706514.15075999</v>
      </c>
      <c r="L43" s="168">
        <f t="shared" si="7"/>
        <v>143193172.60952121</v>
      </c>
      <c r="M43" s="92">
        <f t="shared" si="7"/>
        <v>155956991.66726768</v>
      </c>
      <c r="N43" s="92"/>
      <c r="O43" s="92"/>
      <c r="P43" s="92"/>
      <c r="Q43" s="92"/>
      <c r="R43" s="92"/>
      <c r="S43" s="92"/>
      <c r="T43" s="92"/>
      <c r="U43" s="92"/>
      <c r="V43" s="92"/>
      <c r="W43" s="92"/>
      <c r="X43" s="92"/>
    </row>
    <row r="44" spans="1:24" ht="11.25" customHeight="1" x14ac:dyDescent="0.2">
      <c r="A44" s="501" t="s">
        <v>425</v>
      </c>
      <c r="C44" s="188"/>
      <c r="D44" s="188"/>
      <c r="E44" s="188"/>
      <c r="F44" s="188"/>
      <c r="G44" s="188"/>
      <c r="H44" s="188"/>
      <c r="I44" s="188"/>
      <c r="J44" s="188">
        <f>SUM(E44:I44)</f>
        <v>0</v>
      </c>
      <c r="K44" s="188">
        <f>IF(D44=0,C44+J44,D44+J44)</f>
        <v>0</v>
      </c>
      <c r="L44" s="188"/>
      <c r="M44" s="92"/>
      <c r="N44" s="92"/>
      <c r="O44" s="92"/>
      <c r="P44" s="92"/>
      <c r="Q44" s="92"/>
      <c r="R44" s="92"/>
      <c r="S44" s="92"/>
      <c r="T44" s="92"/>
      <c r="U44" s="92"/>
      <c r="V44" s="92"/>
      <c r="W44" s="92"/>
      <c r="X44" s="92"/>
    </row>
    <row r="45" spans="1:24" x14ac:dyDescent="0.2">
      <c r="A45" s="516" t="s">
        <v>426</v>
      </c>
      <c r="C45" s="508">
        <f t="shared" ref="C45:M45" si="8">C43-C44</f>
        <v>151354220.90999997</v>
      </c>
      <c r="D45" s="508">
        <f t="shared" si="8"/>
        <v>0</v>
      </c>
      <c r="E45" s="508">
        <f t="shared" si="8"/>
        <v>0</v>
      </c>
      <c r="F45" s="508">
        <f t="shared" si="8"/>
        <v>0</v>
      </c>
      <c r="G45" s="508">
        <f t="shared" si="8"/>
        <v>0</v>
      </c>
      <c r="H45" s="508">
        <f t="shared" si="8"/>
        <v>0</v>
      </c>
      <c r="I45" s="508">
        <f t="shared" si="8"/>
        <v>-34647706.759240098</v>
      </c>
      <c r="J45" s="508">
        <f t="shared" si="8"/>
        <v>-34647706.759240098</v>
      </c>
      <c r="K45" s="508">
        <f t="shared" si="8"/>
        <v>116706514.15075999</v>
      </c>
      <c r="L45" s="508">
        <f t="shared" si="8"/>
        <v>143193172.60952121</v>
      </c>
      <c r="M45" s="92">
        <f t="shared" si="8"/>
        <v>155956991.66726768</v>
      </c>
      <c r="N45" s="92"/>
      <c r="O45" s="92"/>
      <c r="P45" s="92"/>
      <c r="Q45" s="92"/>
      <c r="R45" s="92"/>
      <c r="S45" s="92"/>
      <c r="T45" s="92"/>
      <c r="U45" s="92"/>
      <c r="V45" s="92"/>
      <c r="W45" s="92"/>
      <c r="X45" s="92"/>
    </row>
    <row r="46" spans="1:24" x14ac:dyDescent="0.2">
      <c r="A46" s="513" t="s">
        <v>427</v>
      </c>
      <c r="C46" s="188"/>
      <c r="D46" s="188"/>
      <c r="E46" s="188"/>
      <c r="F46" s="165"/>
      <c r="G46" s="165"/>
      <c r="H46" s="165"/>
      <c r="I46" s="165"/>
      <c r="J46" s="165">
        <f>SUM(E46:I46)</f>
        <v>0</v>
      </c>
      <c r="K46" s="165">
        <f>IF(D46=0,C46+J46,D46+J46)</f>
        <v>0</v>
      </c>
      <c r="L46" s="165"/>
      <c r="M46" s="92"/>
      <c r="N46" s="92"/>
      <c r="O46" s="92"/>
      <c r="P46" s="92"/>
      <c r="Q46" s="92"/>
      <c r="R46" s="92"/>
      <c r="S46" s="92"/>
      <c r="T46" s="92"/>
      <c r="U46" s="92"/>
      <c r="V46" s="92"/>
      <c r="W46" s="92"/>
      <c r="X46" s="92"/>
    </row>
    <row r="47" spans="1:24" x14ac:dyDescent="0.2">
      <c r="A47" s="512" t="s">
        <v>428</v>
      </c>
      <c r="C47" s="258">
        <f t="shared" ref="C47:M47" si="9">SUM(C45:C46)</f>
        <v>151354220.90999997</v>
      </c>
      <c r="D47" s="168">
        <f t="shared" si="9"/>
        <v>0</v>
      </c>
      <c r="E47" s="258">
        <f t="shared" si="9"/>
        <v>0</v>
      </c>
      <c r="F47" s="258">
        <f t="shared" si="9"/>
        <v>0</v>
      </c>
      <c r="G47" s="168">
        <f t="shared" si="9"/>
        <v>0</v>
      </c>
      <c r="H47" s="168">
        <f t="shared" si="9"/>
        <v>0</v>
      </c>
      <c r="I47" s="168">
        <f t="shared" si="9"/>
        <v>-34647706.759240098</v>
      </c>
      <c r="J47" s="168">
        <f t="shared" si="9"/>
        <v>-34647706.759240098</v>
      </c>
      <c r="K47" s="168">
        <f t="shared" si="9"/>
        <v>116706514.15075999</v>
      </c>
      <c r="L47" s="168">
        <f t="shared" si="9"/>
        <v>143193172.60952121</v>
      </c>
      <c r="M47" s="91">
        <f t="shared" si="9"/>
        <v>155956991.66726768</v>
      </c>
      <c r="N47" s="91"/>
      <c r="O47" s="91"/>
      <c r="P47" s="91"/>
      <c r="Q47" s="91"/>
      <c r="R47" s="91"/>
      <c r="S47" s="91"/>
      <c r="T47" s="91"/>
      <c r="U47" s="91"/>
      <c r="V47" s="91"/>
      <c r="W47" s="91"/>
      <c r="X47" s="91"/>
    </row>
    <row r="48" spans="1:24" x14ac:dyDescent="0.2">
      <c r="A48" s="192" t="s">
        <v>429</v>
      </c>
      <c r="B48" s="193"/>
      <c r="C48" s="194"/>
      <c r="D48" s="194"/>
      <c r="E48" s="194"/>
      <c r="F48" s="194"/>
      <c r="G48" s="194"/>
      <c r="H48" s="194"/>
      <c r="I48" s="194"/>
      <c r="J48" s="194">
        <f>SUM(E48:I48)</f>
        <v>0</v>
      </c>
      <c r="K48" s="194">
        <f>IF(D48=0,C48+J48,D48+J48)</f>
        <v>0</v>
      </c>
      <c r="L48" s="194"/>
      <c r="M48" s="91"/>
      <c r="N48" s="91"/>
      <c r="O48" s="91"/>
      <c r="P48" s="91"/>
      <c r="Q48" s="91"/>
      <c r="R48" s="91"/>
      <c r="S48" s="91"/>
      <c r="T48" s="91"/>
      <c r="U48" s="91"/>
      <c r="V48" s="91"/>
      <c r="W48" s="91"/>
      <c r="X48" s="91"/>
    </row>
    <row r="49" spans="1:13" ht="11.25" customHeight="1" x14ac:dyDescent="0.2">
      <c r="A49" s="71" t="s">
        <v>894</v>
      </c>
      <c r="B49" s="193"/>
      <c r="C49" s="195">
        <f t="shared" ref="C49:M49" si="10">C47+C48</f>
        <v>151354220.90999997</v>
      </c>
      <c r="D49" s="195">
        <f t="shared" si="10"/>
        <v>0</v>
      </c>
      <c r="E49" s="194">
        <f t="shared" si="10"/>
        <v>0</v>
      </c>
      <c r="F49" s="194">
        <f t="shared" si="10"/>
        <v>0</v>
      </c>
      <c r="G49" s="194">
        <f t="shared" si="10"/>
        <v>0</v>
      </c>
      <c r="H49" s="194">
        <f t="shared" si="10"/>
        <v>0</v>
      </c>
      <c r="I49" s="194">
        <f t="shared" si="10"/>
        <v>-34647706.759240098</v>
      </c>
      <c r="J49" s="194">
        <f t="shared" si="10"/>
        <v>-34647706.759240098</v>
      </c>
      <c r="K49" s="194">
        <f t="shared" si="10"/>
        <v>116706514.15075999</v>
      </c>
      <c r="L49" s="194">
        <f t="shared" si="10"/>
        <v>143193172.60952121</v>
      </c>
      <c r="M49" s="76">
        <f t="shared" si="10"/>
        <v>155956991.66726768</v>
      </c>
    </row>
    <row r="50" spans="1:13" ht="11.25" customHeight="1" x14ac:dyDescent="0.2">
      <c r="A50" s="196">
        <f>head27a</f>
        <v>0</v>
      </c>
      <c r="B50" s="193"/>
      <c r="C50" s="194"/>
      <c r="D50" s="195"/>
      <c r="E50" s="194"/>
      <c r="F50" s="194"/>
      <c r="G50" s="194"/>
      <c r="H50" s="194"/>
      <c r="I50" s="194"/>
      <c r="J50" s="194"/>
      <c r="K50" s="194"/>
      <c r="L50" s="194"/>
    </row>
    <row r="51" spans="1:13" ht="11.25" customHeight="1" x14ac:dyDescent="0.2">
      <c r="A51" s="196" t="s">
        <v>430</v>
      </c>
      <c r="B51" s="193"/>
      <c r="C51" s="194"/>
      <c r="D51" s="195"/>
      <c r="E51" s="194"/>
      <c r="F51" s="194"/>
      <c r="G51" s="194"/>
      <c r="H51" s="194"/>
      <c r="I51" s="194"/>
      <c r="J51" s="194"/>
      <c r="K51" s="194"/>
      <c r="L51" s="194"/>
    </row>
    <row r="52" spans="1:13" ht="11.25" customHeight="1" x14ac:dyDescent="0.2">
      <c r="A52" s="196" t="s">
        <v>895</v>
      </c>
      <c r="B52" s="193"/>
      <c r="C52" s="194"/>
      <c r="D52" s="195"/>
      <c r="E52" s="194"/>
      <c r="F52" s="194"/>
      <c r="G52" s="194"/>
      <c r="H52" s="194"/>
      <c r="I52" s="194"/>
      <c r="J52" s="194"/>
      <c r="K52" s="194"/>
      <c r="L52" s="194"/>
    </row>
    <row r="53" spans="1:13" ht="11.25" customHeight="1" x14ac:dyDescent="0.2">
      <c r="A53" s="196" t="s">
        <v>896</v>
      </c>
      <c r="B53" s="193"/>
      <c r="C53" s="194"/>
      <c r="D53" s="195"/>
      <c r="E53" s="194"/>
      <c r="F53" s="194"/>
      <c r="G53" s="194"/>
      <c r="H53" s="194"/>
      <c r="I53" s="194"/>
      <c r="J53" s="194"/>
      <c r="K53" s="194"/>
      <c r="L53" s="194"/>
    </row>
    <row r="54" spans="1:13" ht="11.25" customHeight="1" x14ac:dyDescent="0.2">
      <c r="A54" s="196" t="s">
        <v>897</v>
      </c>
      <c r="B54" s="193"/>
      <c r="C54" s="194"/>
      <c r="D54" s="195"/>
      <c r="E54" s="194"/>
      <c r="F54" s="194"/>
      <c r="G54" s="194"/>
      <c r="H54" s="194"/>
      <c r="I54" s="194"/>
      <c r="J54" s="194"/>
      <c r="K54" s="194"/>
      <c r="L54" s="194"/>
    </row>
    <row r="55" spans="1:13" ht="11.25" customHeight="1" x14ac:dyDescent="0.2">
      <c r="A55" s="196" t="s">
        <v>898</v>
      </c>
      <c r="B55" s="193"/>
      <c r="C55" s="194"/>
      <c r="D55" s="195"/>
      <c r="E55" s="194"/>
      <c r="F55" s="194"/>
      <c r="G55" s="194"/>
      <c r="H55" s="194"/>
      <c r="I55" s="194"/>
      <c r="J55" s="194"/>
      <c r="K55" s="194"/>
      <c r="L55" s="194"/>
    </row>
    <row r="56" spans="1:13" ht="11.25" customHeight="1" x14ac:dyDescent="0.2">
      <c r="A56" s="196" t="s">
        <v>899</v>
      </c>
      <c r="B56" s="193"/>
      <c r="C56" s="194"/>
      <c r="D56" s="195"/>
      <c r="E56" s="194"/>
      <c r="F56" s="194"/>
      <c r="G56" s="194"/>
      <c r="H56" s="194"/>
      <c r="I56" s="194"/>
      <c r="J56" s="194"/>
      <c r="K56" s="194"/>
      <c r="L56" s="194"/>
    </row>
    <row r="57" spans="1:13" ht="11.25" customHeight="1" x14ac:dyDescent="0.2">
      <c r="A57" s="175" t="s">
        <v>900</v>
      </c>
      <c r="B57" s="197"/>
      <c r="C57" s="517"/>
      <c r="D57" s="517"/>
      <c r="E57" s="517"/>
      <c r="F57" s="517"/>
      <c r="G57" s="517"/>
      <c r="H57" s="517"/>
      <c r="I57" s="517"/>
      <c r="J57" s="517"/>
      <c r="K57" s="517"/>
      <c r="L57" s="517"/>
    </row>
    <row r="58" spans="1:13" ht="11.25" customHeight="1" x14ac:dyDescent="0.2">
      <c r="A58" s="175" t="s">
        <v>901</v>
      </c>
      <c r="B58" s="197"/>
      <c r="C58" s="517"/>
      <c r="D58" s="517"/>
      <c r="E58" s="517"/>
      <c r="F58" s="517"/>
      <c r="G58" s="517"/>
      <c r="H58" s="517"/>
      <c r="I58" s="517"/>
      <c r="J58" s="517"/>
      <c r="K58" s="517"/>
      <c r="L58" s="517"/>
    </row>
    <row r="59" spans="1:13" ht="11.25" customHeight="1" x14ac:dyDescent="0.2">
      <c r="A59" s="175" t="s">
        <v>902</v>
      </c>
      <c r="B59" s="198"/>
      <c r="C59" s="199"/>
      <c r="D59" s="199"/>
      <c r="E59" s="199"/>
      <c r="F59" s="199"/>
      <c r="G59" s="199"/>
      <c r="H59" s="199"/>
      <c r="I59" s="199"/>
      <c r="J59" s="199"/>
      <c r="K59" s="199"/>
      <c r="L59" s="199"/>
      <c r="M59" s="92"/>
    </row>
    <row r="60" spans="1:13" ht="11.25" customHeight="1" x14ac:dyDescent="0.2">
      <c r="A60" s="76" t="s">
        <v>903</v>
      </c>
      <c r="B60" s="76"/>
      <c r="C60" s="91"/>
      <c r="D60" s="91"/>
      <c r="G60" s="91"/>
      <c r="M60" s="92"/>
    </row>
    <row r="61" spans="1:13" ht="11.25" customHeight="1" x14ac:dyDescent="0.2">
      <c r="B61" s="76"/>
      <c r="C61" s="91"/>
      <c r="D61" s="91"/>
      <c r="G61" s="91"/>
    </row>
    <row r="62" spans="1:13" ht="11.25" customHeight="1" x14ac:dyDescent="0.2">
      <c r="A62" s="76" t="s">
        <v>904</v>
      </c>
      <c r="B62" s="76"/>
      <c r="C62" s="91">
        <f t="shared" ref="C62:M62" si="11">C23+C40+C41+C42</f>
        <v>465142443</v>
      </c>
      <c r="D62" s="91">
        <f t="shared" si="11"/>
        <v>0</v>
      </c>
      <c r="E62" s="76">
        <f t="shared" si="11"/>
        <v>0</v>
      </c>
      <c r="F62" s="76">
        <f t="shared" si="11"/>
        <v>0</v>
      </c>
      <c r="G62" s="91">
        <f t="shared" si="11"/>
        <v>0</v>
      </c>
      <c r="H62" s="76">
        <f t="shared" si="11"/>
        <v>0</v>
      </c>
      <c r="I62" s="76">
        <f t="shared" si="11"/>
        <v>-39298745.657840006</v>
      </c>
      <c r="J62" s="76">
        <f t="shared" si="11"/>
        <v>-39298745.657840006</v>
      </c>
      <c r="K62" s="76">
        <f t="shared" si="11"/>
        <v>425843697.34216005</v>
      </c>
      <c r="L62" s="76">
        <f t="shared" si="11"/>
        <v>440347124.60406268</v>
      </c>
      <c r="M62" s="76">
        <f t="shared" si="11"/>
        <v>470929993.79268205</v>
      </c>
    </row>
    <row r="63" spans="1:13" ht="11.25" customHeight="1" x14ac:dyDescent="0.2">
      <c r="B63" s="76"/>
      <c r="D63" s="92"/>
    </row>
    <row r="64" spans="1:13" ht="11.25" customHeight="1" x14ac:dyDescent="0.2">
      <c r="B64" s="76"/>
    </row>
    <row r="65" spans="2:2" ht="11.25" customHeight="1" x14ac:dyDescent="0.2">
      <c r="B65" s="76"/>
    </row>
    <row r="66" spans="2:2" ht="11.25" customHeight="1" x14ac:dyDescent="0.2">
      <c r="B66" s="76"/>
    </row>
    <row r="67" spans="2:2" ht="11.25" customHeight="1" x14ac:dyDescent="0.2">
      <c r="B67" s="76"/>
    </row>
    <row r="68" spans="2:2" ht="11.25" customHeight="1" x14ac:dyDescent="0.2">
      <c r="B68" s="76"/>
    </row>
    <row r="69" spans="2:2" ht="11.25" customHeight="1" x14ac:dyDescent="0.2">
      <c r="B69" s="76"/>
    </row>
    <row r="70" spans="2:2" ht="11.25" customHeight="1" x14ac:dyDescent="0.2">
      <c r="B70" s="76"/>
    </row>
    <row r="71" spans="2:2" ht="11.25" customHeight="1" x14ac:dyDescent="0.2">
      <c r="B71" s="76"/>
    </row>
    <row r="72" spans="2:2" ht="11.25" customHeight="1" x14ac:dyDescent="0.2">
      <c r="B72" s="76"/>
    </row>
    <row r="73" spans="2:2" ht="11.25" customHeight="1" x14ac:dyDescent="0.2">
      <c r="B73" s="76"/>
    </row>
    <row r="74" spans="2:2" ht="11.25" customHeight="1" x14ac:dyDescent="0.2">
      <c r="B74" s="76"/>
    </row>
    <row r="75" spans="2:2" ht="11.25" customHeight="1" x14ac:dyDescent="0.2">
      <c r="B75" s="76"/>
    </row>
    <row r="76" spans="2:2" ht="11.25" customHeight="1" x14ac:dyDescent="0.2">
      <c r="B76" s="76"/>
    </row>
    <row r="77" spans="2:2" ht="11.25" customHeight="1" x14ac:dyDescent="0.2">
      <c r="B77" s="76"/>
    </row>
    <row r="78" spans="2:2" ht="11.25" customHeight="1" x14ac:dyDescent="0.2">
      <c r="B78" s="76"/>
    </row>
    <row r="79" spans="2:2" ht="11.25" customHeight="1" x14ac:dyDescent="0.2">
      <c r="B79" s="76"/>
    </row>
    <row r="80" spans="2:2" ht="11.25" customHeight="1" x14ac:dyDescent="0.2">
      <c r="B80" s="76"/>
    </row>
    <row r="81" spans="2:2" ht="11.25" customHeight="1" x14ac:dyDescent="0.2">
      <c r="B81" s="76"/>
    </row>
    <row r="82" spans="2:2" ht="11.25" customHeight="1" x14ac:dyDescent="0.2">
      <c r="B82" s="76"/>
    </row>
    <row r="83" spans="2:2" ht="11.25" customHeight="1" x14ac:dyDescent="0.2"/>
    <row r="84" spans="2:2" ht="11.25" customHeight="1" x14ac:dyDescent="0.2"/>
    <row r="85" spans="2:2" ht="11.25" customHeight="1" x14ac:dyDescent="0.2"/>
    <row r="86" spans="2:2" ht="11.25" customHeight="1" x14ac:dyDescent="0.2"/>
    <row r="87" spans="2:2" ht="11.25" customHeight="1" x14ac:dyDescent="0.2"/>
    <row r="88" spans="2:2" ht="11.25" customHeight="1" x14ac:dyDescent="0.2"/>
    <row r="89" spans="2:2" ht="11.25" customHeight="1" x14ac:dyDescent="0.2"/>
    <row r="90" spans="2:2" ht="11.25" customHeight="1" x14ac:dyDescent="0.2"/>
    <row r="91" spans="2:2" ht="11.25" customHeight="1" x14ac:dyDescent="0.2"/>
  </sheetData>
  <mergeCells count="4">
    <mergeCell ref="M2:X2"/>
    <mergeCell ref="A2:A4"/>
    <mergeCell ref="B2:B4"/>
    <mergeCell ref="C2:J2"/>
  </mergeCells>
  <pageMargins left="0.7" right="0.7" top="0.75" bottom="0.7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12"/>
  <sheetViews>
    <sheetView view="pageBreakPreview" zoomScale="60" zoomScaleNormal="100" workbookViewId="0">
      <selection activeCell="AE27" sqref="AE27"/>
    </sheetView>
  </sheetViews>
  <sheetFormatPr defaultColWidth="9.109375" defaultRowHeight="10.199999999999999" x14ac:dyDescent="0.2"/>
  <cols>
    <col min="1" max="1" width="30.6640625" style="46" customWidth="1"/>
    <col min="2" max="2" width="3" style="47" customWidth="1"/>
    <col min="3" max="8" width="9.33203125" style="46" customWidth="1"/>
    <col min="9" max="9" width="9.109375" style="46" customWidth="1"/>
    <col min="10" max="12" width="9.33203125" style="46" customWidth="1"/>
    <col min="13" max="13" width="9.6640625" style="46" customWidth="1"/>
    <col min="14" max="16" width="9.44140625" style="46" customWidth="1"/>
    <col min="17" max="17" width="9.6640625" style="46" customWidth="1"/>
    <col min="18" max="20" width="9.44140625" style="46" customWidth="1"/>
    <col min="21" max="22" width="9.6640625" style="46" customWidth="1"/>
    <col min="23" max="16384" width="9.109375" style="46"/>
  </cols>
  <sheetData>
    <row r="1" spans="1:12" s="161" customFormat="1" ht="13.8" x14ac:dyDescent="0.3">
      <c r="A1" s="133" t="s">
        <v>914</v>
      </c>
      <c r="B1" s="133"/>
      <c r="C1" s="133"/>
      <c r="D1" s="133"/>
      <c r="E1" s="133"/>
      <c r="F1" s="133"/>
      <c r="G1" s="133"/>
      <c r="H1" s="133"/>
      <c r="I1" s="133"/>
      <c r="J1" s="133"/>
      <c r="K1" s="133"/>
      <c r="L1" s="133"/>
    </row>
    <row r="2" spans="1:12" ht="28.5" customHeight="1" x14ac:dyDescent="0.2">
      <c r="A2" s="176" t="s">
        <v>892</v>
      </c>
      <c r="B2" s="177" t="s">
        <v>907</v>
      </c>
      <c r="C2" s="553" t="s">
        <v>910</v>
      </c>
      <c r="D2" s="554"/>
      <c r="E2" s="554"/>
      <c r="F2" s="554"/>
      <c r="G2" s="554"/>
      <c r="H2" s="554"/>
      <c r="I2" s="554"/>
      <c r="J2" s="554"/>
      <c r="K2" s="554"/>
      <c r="L2" s="434" t="s">
        <v>908</v>
      </c>
    </row>
    <row r="3" spans="1:12" ht="20.399999999999999" x14ac:dyDescent="0.2">
      <c r="A3" s="48"/>
      <c r="B3" s="49"/>
      <c r="C3" s="139" t="s">
        <v>310</v>
      </c>
      <c r="D3" s="139" t="s">
        <v>885</v>
      </c>
      <c r="E3" s="138" t="s">
        <v>886</v>
      </c>
      <c r="F3" s="136" t="s">
        <v>887</v>
      </c>
      <c r="G3" s="139" t="s">
        <v>888</v>
      </c>
      <c r="H3" s="138" t="s">
        <v>889</v>
      </c>
      <c r="I3" s="178" t="s">
        <v>890</v>
      </c>
      <c r="J3" s="136" t="s">
        <v>891</v>
      </c>
      <c r="K3" s="139" t="s">
        <v>804</v>
      </c>
      <c r="L3" s="138" t="s">
        <v>804</v>
      </c>
    </row>
    <row r="4" spans="1:12" x14ac:dyDescent="0.2">
      <c r="A4" s="93" t="s">
        <v>871</v>
      </c>
      <c r="B4" s="179"/>
      <c r="C4" s="200"/>
      <c r="D4" s="200">
        <v>3</v>
      </c>
      <c r="E4" s="201">
        <v>4</v>
      </c>
      <c r="F4" s="202">
        <v>5</v>
      </c>
      <c r="G4" s="200">
        <v>6</v>
      </c>
      <c r="H4" s="203">
        <v>7</v>
      </c>
      <c r="I4" s="201">
        <v>8</v>
      </c>
      <c r="J4" s="202">
        <v>9</v>
      </c>
      <c r="K4" s="200">
        <v>10</v>
      </c>
      <c r="L4" s="203"/>
    </row>
    <row r="5" spans="1:12" ht="11.25" customHeight="1" x14ac:dyDescent="0.2">
      <c r="A5" s="93" t="s">
        <v>872</v>
      </c>
      <c r="B5" s="184"/>
      <c r="C5" s="141" t="s">
        <v>873</v>
      </c>
      <c r="D5" s="141" t="s">
        <v>874</v>
      </c>
      <c r="E5" s="204" t="s">
        <v>875</v>
      </c>
      <c r="F5" s="140" t="s">
        <v>876</v>
      </c>
      <c r="G5" s="141" t="s">
        <v>877</v>
      </c>
      <c r="H5" s="144" t="s">
        <v>878</v>
      </c>
      <c r="I5" s="204" t="s">
        <v>879</v>
      </c>
      <c r="J5" s="140" t="s">
        <v>880</v>
      </c>
      <c r="K5" s="141" t="s">
        <v>881</v>
      </c>
      <c r="L5" s="144"/>
    </row>
    <row r="6" spans="1:12" ht="11.25" customHeight="1" x14ac:dyDescent="0.2">
      <c r="A6" s="66" t="s">
        <v>911</v>
      </c>
      <c r="B6" s="184"/>
      <c r="C6" s="205"/>
      <c r="D6" s="205"/>
      <c r="E6" s="206"/>
      <c r="F6" s="207"/>
      <c r="G6" s="205"/>
      <c r="H6" s="206"/>
      <c r="I6" s="208"/>
      <c r="J6" s="207"/>
      <c r="K6" s="205"/>
      <c r="L6" s="206"/>
    </row>
    <row r="7" spans="1:12" ht="11.25" customHeight="1" x14ac:dyDescent="0.2">
      <c r="A7" s="66" t="s">
        <v>912</v>
      </c>
      <c r="B7" s="184">
        <v>2</v>
      </c>
      <c r="C7" s="205"/>
      <c r="D7" s="205"/>
      <c r="E7" s="206"/>
      <c r="F7" s="207"/>
      <c r="G7" s="205"/>
      <c r="H7" s="206"/>
      <c r="I7" s="209"/>
      <c r="J7" s="207"/>
      <c r="K7" s="205"/>
      <c r="L7" s="206"/>
    </row>
    <row r="8" spans="1:12" ht="11.25" customHeight="1" x14ac:dyDescent="0.2">
      <c r="A8" s="66" t="str">
        <f>'[2]Org structure'!A2</f>
        <v>Vote 1 - Executive &amp; Council</v>
      </c>
      <c r="B8" s="184"/>
      <c r="C8" s="205">
        <f t="shared" ref="C8:I8" si="0">SUM(C9:C10)</f>
        <v>0</v>
      </c>
      <c r="D8" s="205">
        <f t="shared" si="0"/>
        <v>0</v>
      </c>
      <c r="E8" s="206">
        <f t="shared" si="0"/>
        <v>0</v>
      </c>
      <c r="F8" s="207">
        <f t="shared" si="0"/>
        <v>0</v>
      </c>
      <c r="G8" s="205">
        <f t="shared" si="0"/>
        <v>0</v>
      </c>
      <c r="H8" s="206">
        <f t="shared" si="0"/>
        <v>0</v>
      </c>
      <c r="I8" s="209">
        <f t="shared" si="0"/>
        <v>0</v>
      </c>
      <c r="J8" s="207">
        <f t="shared" ref="J8:J32" si="1">SUM(E8:I8)</f>
        <v>0</v>
      </c>
      <c r="K8" s="205">
        <f t="shared" ref="K8:K32" si="2">IF(D8=0,C8+J8,D8+J8)</f>
        <v>0</v>
      </c>
      <c r="L8" s="206">
        <f>SUM(L9:L10)</f>
        <v>0</v>
      </c>
    </row>
    <row r="9" spans="1:12" ht="11.25" customHeight="1" x14ac:dyDescent="0.2">
      <c r="A9" s="66" t="str">
        <f>'[2]Org structure'!E3</f>
        <v>1.1 - Mayor and Council</v>
      </c>
      <c r="B9" s="184"/>
      <c r="C9" s="205"/>
      <c r="D9" s="205"/>
      <c r="E9" s="206"/>
      <c r="F9" s="210"/>
      <c r="G9" s="205"/>
      <c r="H9" s="206"/>
      <c r="I9" s="209"/>
      <c r="J9" s="207">
        <f t="shared" si="1"/>
        <v>0</v>
      </c>
      <c r="K9" s="205">
        <f t="shared" si="2"/>
        <v>0</v>
      </c>
      <c r="L9" s="211"/>
    </row>
    <row r="10" spans="1:12" ht="11.25" customHeight="1" x14ac:dyDescent="0.2">
      <c r="A10" s="66" t="str">
        <f>'[2]Org structure'!E4</f>
        <v>1.2 - Municipal Manager</v>
      </c>
      <c r="B10" s="184"/>
      <c r="C10" s="205"/>
      <c r="D10" s="205"/>
      <c r="E10" s="206"/>
      <c r="F10" s="207"/>
      <c r="G10" s="205"/>
      <c r="H10" s="206"/>
      <c r="I10" s="209"/>
      <c r="J10" s="207">
        <f t="shared" si="1"/>
        <v>0</v>
      </c>
      <c r="K10" s="205">
        <f t="shared" si="2"/>
        <v>0</v>
      </c>
      <c r="L10" s="206"/>
    </row>
    <row r="11" spans="1:12" ht="11.25" customHeight="1" x14ac:dyDescent="0.2">
      <c r="A11" s="66" t="str">
        <f>'[2]Org structure'!A3</f>
        <v>Vote 2 - Finance and Administration</v>
      </c>
      <c r="B11" s="184"/>
      <c r="C11" s="205">
        <f>SUM(C12:C21)</f>
        <v>0</v>
      </c>
      <c r="D11" s="205">
        <f t="shared" ref="D11:I11" si="3">SUM(D12:D21)</f>
        <v>0</v>
      </c>
      <c r="E11" s="209">
        <f t="shared" si="3"/>
        <v>0</v>
      </c>
      <c r="F11" s="207">
        <f t="shared" si="3"/>
        <v>0</v>
      </c>
      <c r="G11" s="205">
        <f t="shared" si="3"/>
        <v>0</v>
      </c>
      <c r="H11" s="206">
        <f t="shared" si="3"/>
        <v>0</v>
      </c>
      <c r="I11" s="209">
        <f t="shared" si="3"/>
        <v>0</v>
      </c>
      <c r="J11" s="207">
        <f t="shared" si="1"/>
        <v>0</v>
      </c>
      <c r="K11" s="205">
        <f t="shared" si="2"/>
        <v>0</v>
      </c>
      <c r="L11" s="206">
        <f>SUM(L12:L21)</f>
        <v>0</v>
      </c>
    </row>
    <row r="12" spans="1:12" ht="11.25" customHeight="1" x14ac:dyDescent="0.2">
      <c r="A12" s="66" t="str">
        <f>'[2]Org structure'!E14</f>
        <v>2.1 - Administrative and Corporate Support</v>
      </c>
      <c r="B12" s="184"/>
      <c r="C12" s="205"/>
      <c r="D12" s="205"/>
      <c r="E12" s="209"/>
      <c r="F12" s="207"/>
      <c r="G12" s="205"/>
      <c r="H12" s="206"/>
      <c r="I12" s="209"/>
      <c r="J12" s="207">
        <f t="shared" si="1"/>
        <v>0</v>
      </c>
      <c r="K12" s="205">
        <f t="shared" si="2"/>
        <v>0</v>
      </c>
      <c r="L12" s="206"/>
    </row>
    <row r="13" spans="1:12" x14ac:dyDescent="0.2">
      <c r="A13" s="56" t="str">
        <f>'[2]Org structure'!E15</f>
        <v>2.2 - Asset Management</v>
      </c>
      <c r="B13" s="184"/>
      <c r="C13" s="212"/>
      <c r="D13" s="212"/>
      <c r="E13" s="213"/>
      <c r="F13" s="214"/>
      <c r="G13" s="78"/>
      <c r="H13" s="215"/>
      <c r="I13" s="213"/>
      <c r="J13" s="214">
        <f t="shared" si="1"/>
        <v>0</v>
      </c>
      <c r="K13" s="78">
        <f t="shared" si="2"/>
        <v>0</v>
      </c>
      <c r="L13" s="215"/>
    </row>
    <row r="14" spans="1:12" ht="4.95" customHeight="1" x14ac:dyDescent="0.2">
      <c r="A14" s="60" t="str">
        <f>'[2]Org structure'!E16</f>
        <v>2.3 - Budget and Treasury Office</v>
      </c>
      <c r="B14" s="184"/>
      <c r="C14" s="52"/>
      <c r="D14" s="216"/>
      <c r="E14" s="183"/>
      <c r="F14" s="150"/>
      <c r="G14" s="52"/>
      <c r="H14" s="146"/>
      <c r="I14" s="183"/>
      <c r="J14" s="150">
        <f t="shared" si="1"/>
        <v>0</v>
      </c>
      <c r="K14" s="52">
        <f t="shared" si="2"/>
        <v>0</v>
      </c>
      <c r="L14" s="146"/>
    </row>
    <row r="15" spans="1:12" ht="11.25" customHeight="1" x14ac:dyDescent="0.2">
      <c r="A15" s="93" t="str">
        <f>'[2]Org structure'!E17</f>
        <v>2.4 - Human Resource</v>
      </c>
      <c r="B15" s="184"/>
      <c r="C15" s="217"/>
      <c r="D15" s="217"/>
      <c r="E15" s="206"/>
      <c r="F15" s="207"/>
      <c r="G15" s="205"/>
      <c r="H15" s="206"/>
      <c r="I15" s="209"/>
      <c r="J15" s="207">
        <f t="shared" si="1"/>
        <v>0</v>
      </c>
      <c r="K15" s="205">
        <f t="shared" si="2"/>
        <v>0</v>
      </c>
      <c r="L15" s="206"/>
    </row>
    <row r="16" spans="1:12" ht="11.25" customHeight="1" x14ac:dyDescent="0.2">
      <c r="A16" s="66" t="str">
        <f>'[2]Org structure'!E18</f>
        <v>2.5 - Information Technology</v>
      </c>
      <c r="B16" s="184"/>
      <c r="C16" s="217"/>
      <c r="D16" s="217"/>
      <c r="E16" s="206"/>
      <c r="F16" s="207"/>
      <c r="G16" s="205"/>
      <c r="H16" s="206"/>
      <c r="I16" s="209"/>
      <c r="J16" s="207">
        <f t="shared" si="1"/>
        <v>0</v>
      </c>
      <c r="K16" s="205">
        <f t="shared" si="2"/>
        <v>0</v>
      </c>
      <c r="L16" s="206"/>
    </row>
    <row r="17" spans="1:16" ht="11.25" customHeight="1" x14ac:dyDescent="0.2">
      <c r="A17" s="66" t="str">
        <f>'[2]Org structure'!E19</f>
        <v>2.6 - Legal Services</v>
      </c>
      <c r="B17" s="184"/>
      <c r="C17" s="217"/>
      <c r="D17" s="217"/>
      <c r="E17" s="206"/>
      <c r="F17" s="207"/>
      <c r="G17" s="205"/>
      <c r="H17" s="206"/>
      <c r="I17" s="209"/>
      <c r="J17" s="207">
        <f t="shared" si="1"/>
        <v>0</v>
      </c>
      <c r="K17" s="205">
        <f t="shared" si="2"/>
        <v>0</v>
      </c>
      <c r="L17" s="206"/>
    </row>
    <row r="18" spans="1:16" ht="11.25" customHeight="1" x14ac:dyDescent="0.2">
      <c r="A18" s="66" t="str">
        <f>'[2]Org structure'!E20</f>
        <v>2.7 - Customer Relation and Coordination</v>
      </c>
      <c r="B18" s="184"/>
      <c r="C18" s="217"/>
      <c r="D18" s="217"/>
      <c r="E18" s="206"/>
      <c r="F18" s="207"/>
      <c r="G18" s="205"/>
      <c r="H18" s="206"/>
      <c r="I18" s="209"/>
      <c r="J18" s="207">
        <f t="shared" si="1"/>
        <v>0</v>
      </c>
      <c r="K18" s="205">
        <f t="shared" si="2"/>
        <v>0</v>
      </c>
      <c r="L18" s="206"/>
    </row>
    <row r="19" spans="1:16" ht="11.25" customHeight="1" x14ac:dyDescent="0.2">
      <c r="A19" s="66" t="str">
        <f>'[2]Org structure'!E21</f>
        <v>2.8 - Property Services</v>
      </c>
      <c r="B19" s="184"/>
      <c r="C19" s="217"/>
      <c r="D19" s="217"/>
      <c r="E19" s="206"/>
      <c r="F19" s="207"/>
      <c r="G19" s="205"/>
      <c r="H19" s="206"/>
      <c r="I19" s="209"/>
      <c r="J19" s="207">
        <f t="shared" si="1"/>
        <v>0</v>
      </c>
      <c r="K19" s="205">
        <f t="shared" si="2"/>
        <v>0</v>
      </c>
      <c r="L19" s="206"/>
    </row>
    <row r="20" spans="1:16" ht="11.25" customHeight="1" x14ac:dyDescent="0.2">
      <c r="A20" s="66" t="str">
        <f>'[2]Org structure'!E22</f>
        <v>2.8 - Property Services</v>
      </c>
      <c r="B20" s="184"/>
      <c r="C20" s="217"/>
      <c r="D20" s="217"/>
      <c r="E20" s="206"/>
      <c r="F20" s="207"/>
      <c r="G20" s="205"/>
      <c r="H20" s="206"/>
      <c r="I20" s="209"/>
      <c r="J20" s="207">
        <f t="shared" si="1"/>
        <v>0</v>
      </c>
      <c r="K20" s="205">
        <f t="shared" si="2"/>
        <v>0</v>
      </c>
      <c r="L20" s="206"/>
    </row>
    <row r="21" spans="1:16" ht="11.25" customHeight="1" x14ac:dyDescent="0.2">
      <c r="A21" s="66" t="str">
        <f>'[2]Org structure'!E23</f>
        <v>2.10 - Supply Chain Management</v>
      </c>
      <c r="B21" s="184"/>
      <c r="C21" s="217"/>
      <c r="D21" s="217"/>
      <c r="E21" s="206"/>
      <c r="F21" s="207"/>
      <c r="G21" s="205"/>
      <c r="H21" s="206"/>
      <c r="I21" s="209"/>
      <c r="J21" s="207">
        <f t="shared" si="1"/>
        <v>0</v>
      </c>
      <c r="K21" s="205">
        <f t="shared" si="2"/>
        <v>0</v>
      </c>
      <c r="L21" s="206"/>
    </row>
    <row r="22" spans="1:16" ht="11.25" customHeight="1" x14ac:dyDescent="0.2">
      <c r="A22" s="66" t="str">
        <f>'[2]Org structure'!A4</f>
        <v>Vote 3 - Internal Audit</v>
      </c>
      <c r="B22" s="184"/>
      <c r="C22" s="217">
        <f t="shared" ref="C22:I22" si="4">SUM(C23:C23)</f>
        <v>0</v>
      </c>
      <c r="D22" s="217">
        <f t="shared" si="4"/>
        <v>0</v>
      </c>
      <c r="E22" s="206">
        <f t="shared" si="4"/>
        <v>0</v>
      </c>
      <c r="F22" s="207">
        <f t="shared" si="4"/>
        <v>0</v>
      </c>
      <c r="G22" s="205">
        <f t="shared" si="4"/>
        <v>0</v>
      </c>
      <c r="H22" s="206">
        <f t="shared" si="4"/>
        <v>0</v>
      </c>
      <c r="I22" s="209">
        <f t="shared" si="4"/>
        <v>0</v>
      </c>
      <c r="J22" s="207">
        <f t="shared" si="1"/>
        <v>0</v>
      </c>
      <c r="K22" s="205">
        <f t="shared" si="2"/>
        <v>0</v>
      </c>
      <c r="L22" s="206">
        <f>SUM(L23:L23)</f>
        <v>0</v>
      </c>
    </row>
    <row r="23" spans="1:16" ht="11.25" customHeight="1" x14ac:dyDescent="0.2">
      <c r="A23" s="66" t="str">
        <f>'[2]Org structure'!E25</f>
        <v>3.1 - Governance Function</v>
      </c>
      <c r="B23" s="184"/>
      <c r="C23" s="217"/>
      <c r="D23" s="217"/>
      <c r="E23" s="206"/>
      <c r="F23" s="207"/>
      <c r="G23" s="205"/>
      <c r="H23" s="206"/>
      <c r="I23" s="209"/>
      <c r="J23" s="207">
        <f t="shared" si="1"/>
        <v>0</v>
      </c>
      <c r="K23" s="205">
        <f t="shared" si="2"/>
        <v>0</v>
      </c>
      <c r="L23" s="206"/>
    </row>
    <row r="24" spans="1:16" ht="12" customHeight="1" x14ac:dyDescent="0.2">
      <c r="A24" s="60" t="str">
        <f>'[2]Org structure'!A5</f>
        <v>Vote 4 - Community and Public Safety</v>
      </c>
      <c r="B24" s="184"/>
      <c r="C24" s="217">
        <f t="shared" ref="C24:I24" si="5">SUM(C25:C28)</f>
        <v>3100000</v>
      </c>
      <c r="D24" s="217">
        <f t="shared" si="5"/>
        <v>0</v>
      </c>
      <c r="E24" s="206">
        <f t="shared" si="5"/>
        <v>0</v>
      </c>
      <c r="F24" s="207">
        <f t="shared" si="5"/>
        <v>0</v>
      </c>
      <c r="G24" s="205">
        <f t="shared" si="5"/>
        <v>0</v>
      </c>
      <c r="H24" s="206">
        <f t="shared" si="5"/>
        <v>0</v>
      </c>
      <c r="I24" s="209">
        <f t="shared" si="5"/>
        <v>-1600000</v>
      </c>
      <c r="J24" s="207">
        <f t="shared" si="1"/>
        <v>-1600000</v>
      </c>
      <c r="K24" s="205">
        <f t="shared" si="2"/>
        <v>1500000</v>
      </c>
      <c r="L24" s="206">
        <f>SUM(L25:L28)</f>
        <v>3900000</v>
      </c>
    </row>
    <row r="25" spans="1:16" ht="11.25" customHeight="1" x14ac:dyDescent="0.2">
      <c r="A25" s="93" t="str">
        <f>'[2]Org structure'!E36</f>
        <v>4.1 - Cemetries and crematoriums</v>
      </c>
      <c r="B25" s="184"/>
      <c r="C25" s="217"/>
      <c r="D25" s="217"/>
      <c r="E25" s="206"/>
      <c r="F25" s="207"/>
      <c r="G25" s="205"/>
      <c r="H25" s="206"/>
      <c r="I25" s="209"/>
      <c r="J25" s="218">
        <f t="shared" si="1"/>
        <v>0</v>
      </c>
      <c r="K25" s="205">
        <f t="shared" si="2"/>
        <v>0</v>
      </c>
      <c r="L25" s="219"/>
    </row>
    <row r="26" spans="1:16" ht="11.25" customHeight="1" x14ac:dyDescent="0.2">
      <c r="A26" s="220" t="str">
        <f>'[2]Org structure'!E37</f>
        <v>4.2 - Community halls and Facilities</v>
      </c>
      <c r="B26" s="162"/>
      <c r="C26" s="221">
        <v>3100000</v>
      </c>
      <c r="D26" s="221"/>
      <c r="E26" s="222"/>
      <c r="F26" s="223"/>
      <c r="G26" s="221"/>
      <c r="H26" s="224"/>
      <c r="I26" s="225">
        <v>-1600000</v>
      </c>
      <c r="J26" s="223">
        <f t="shared" si="1"/>
        <v>-1600000</v>
      </c>
      <c r="K26" s="221">
        <f t="shared" si="2"/>
        <v>1500000</v>
      </c>
      <c r="L26" s="224">
        <v>3900000</v>
      </c>
      <c r="O26" s="226"/>
      <c r="P26" s="227"/>
    </row>
    <row r="27" spans="1:16" ht="11.25" customHeight="1" x14ac:dyDescent="0.2">
      <c r="A27" s="228" t="str">
        <f>'[2]Org structure'!E38</f>
        <v>4.3 - Disaster Management</v>
      </c>
      <c r="B27" s="162"/>
      <c r="C27" s="67"/>
      <c r="D27" s="67"/>
      <c r="E27" s="164"/>
      <c r="F27" s="68"/>
      <c r="G27" s="67"/>
      <c r="H27" s="67"/>
      <c r="I27" s="67"/>
      <c r="J27" s="54">
        <f t="shared" si="1"/>
        <v>0</v>
      </c>
      <c r="K27" s="67">
        <f t="shared" si="2"/>
        <v>0</v>
      </c>
      <c r="L27" s="163"/>
      <c r="O27" s="226"/>
      <c r="P27" s="227"/>
    </row>
    <row r="28" spans="1:16" ht="11.25" customHeight="1" x14ac:dyDescent="0.2">
      <c r="A28" s="228" t="str">
        <f>'[2]Org structure'!E39</f>
        <v>4.4 - Libraries and Archives</v>
      </c>
      <c r="B28" s="162"/>
      <c r="C28" s="185"/>
      <c r="D28" s="185"/>
      <c r="E28" s="187"/>
      <c r="F28" s="95"/>
      <c r="G28" s="185"/>
      <c r="H28" s="185"/>
      <c r="I28" s="185"/>
      <c r="J28" s="189">
        <f t="shared" si="1"/>
        <v>0</v>
      </c>
      <c r="K28" s="185">
        <f t="shared" si="2"/>
        <v>0</v>
      </c>
      <c r="L28" s="186"/>
      <c r="O28" s="226"/>
      <c r="P28" s="227"/>
    </row>
    <row r="29" spans="1:16" ht="11.25" customHeight="1" x14ac:dyDescent="0.2">
      <c r="A29" s="228" t="str">
        <f>'[2]Org structure'!A6</f>
        <v>Vote 5 - Sports and Recreation</v>
      </c>
      <c r="B29" s="162"/>
      <c r="C29" s="185">
        <f t="shared" ref="C29:I29" si="6">SUM(C30:C30)</f>
        <v>43635415</v>
      </c>
      <c r="D29" s="185">
        <f t="shared" si="6"/>
        <v>0</v>
      </c>
      <c r="E29" s="187">
        <f t="shared" si="6"/>
        <v>0</v>
      </c>
      <c r="F29" s="95">
        <f t="shared" si="6"/>
        <v>0</v>
      </c>
      <c r="G29" s="185">
        <f t="shared" si="6"/>
        <v>0</v>
      </c>
      <c r="H29" s="185">
        <f t="shared" si="6"/>
        <v>0</v>
      </c>
      <c r="I29" s="185">
        <f t="shared" si="6"/>
        <v>-11473778.27</v>
      </c>
      <c r="J29" s="189">
        <f t="shared" si="1"/>
        <v>-11473778.27</v>
      </c>
      <c r="K29" s="185">
        <f t="shared" si="2"/>
        <v>32161636.73</v>
      </c>
      <c r="L29" s="186">
        <f>SUM(L30:L30)</f>
        <v>29832888</v>
      </c>
      <c r="O29" s="226"/>
      <c r="P29" s="227"/>
    </row>
    <row r="30" spans="1:16" ht="11.25" customHeight="1" x14ac:dyDescent="0.2">
      <c r="A30" s="220" t="str">
        <f>'[2]Org structure'!E47</f>
        <v>5.1 - Community parks</v>
      </c>
      <c r="B30" s="231"/>
      <c r="C30" s="221">
        <v>43635415</v>
      </c>
      <c r="D30" s="221"/>
      <c r="E30" s="229"/>
      <c r="F30" s="230"/>
      <c r="G30" s="221"/>
      <c r="H30" s="225"/>
      <c r="I30" s="230">
        <v>-11473778.27</v>
      </c>
      <c r="J30" s="223">
        <f t="shared" si="1"/>
        <v>-11473778.27</v>
      </c>
      <c r="K30" s="221">
        <f t="shared" si="2"/>
        <v>32161636.73</v>
      </c>
      <c r="L30" s="224">
        <v>29832888</v>
      </c>
      <c r="O30" s="226"/>
      <c r="P30" s="227"/>
    </row>
    <row r="31" spans="1:16" x14ac:dyDescent="0.2">
      <c r="A31" s="232" t="str">
        <f>'[2]Org structure'!A7</f>
        <v>Vote 6 - Housing</v>
      </c>
      <c r="B31" s="191"/>
      <c r="C31" s="154">
        <f t="shared" ref="C31:I31" si="7">SUM(C32:C32)</f>
        <v>0</v>
      </c>
      <c r="D31" s="154">
        <f t="shared" si="7"/>
        <v>0</v>
      </c>
      <c r="E31" s="157">
        <f t="shared" si="7"/>
        <v>0</v>
      </c>
      <c r="F31" s="153">
        <f t="shared" si="7"/>
        <v>0</v>
      </c>
      <c r="G31" s="154">
        <f t="shared" si="7"/>
        <v>0</v>
      </c>
      <c r="H31" s="157">
        <f t="shared" si="7"/>
        <v>0</v>
      </c>
      <c r="I31" s="233">
        <f t="shared" si="7"/>
        <v>0</v>
      </c>
      <c r="J31" s="153">
        <f t="shared" si="1"/>
        <v>0</v>
      </c>
      <c r="K31" s="154">
        <f t="shared" si="2"/>
        <v>0</v>
      </c>
      <c r="L31" s="157">
        <f>SUM(L32:L32)</f>
        <v>0</v>
      </c>
    </row>
    <row r="32" spans="1:16" ht="4.95" customHeight="1" x14ac:dyDescent="0.2">
      <c r="A32" s="56" t="str">
        <f>'[2]Org structure'!E58</f>
        <v>6.1 - Housing</v>
      </c>
      <c r="B32" s="184"/>
      <c r="C32" s="61"/>
      <c r="D32" s="61"/>
      <c r="E32" s="168"/>
      <c r="F32" s="167"/>
      <c r="G32" s="61"/>
      <c r="H32" s="166"/>
      <c r="I32" s="168"/>
      <c r="J32" s="167">
        <f t="shared" si="1"/>
        <v>0</v>
      </c>
      <c r="K32" s="61">
        <f t="shared" si="2"/>
        <v>0</v>
      </c>
      <c r="L32" s="166"/>
    </row>
    <row r="33" spans="1:12" x14ac:dyDescent="0.2">
      <c r="A33" s="97" t="str">
        <f>'[2]Org structure'!A8</f>
        <v xml:space="preserve">Vote 7 - Planning and development </v>
      </c>
      <c r="B33" s="191"/>
      <c r="C33" s="62">
        <f t="shared" ref="C33:I33" si="8">SUM(C34:C36)</f>
        <v>0</v>
      </c>
      <c r="D33" s="62">
        <f t="shared" si="8"/>
        <v>0</v>
      </c>
      <c r="E33" s="172">
        <f t="shared" si="8"/>
        <v>0</v>
      </c>
      <c r="F33" s="171">
        <f t="shared" si="8"/>
        <v>0</v>
      </c>
      <c r="G33" s="62">
        <f t="shared" si="8"/>
        <v>0</v>
      </c>
      <c r="H33" s="170">
        <f t="shared" si="8"/>
        <v>0</v>
      </c>
      <c r="I33" s="172">
        <f t="shared" si="8"/>
        <v>0</v>
      </c>
      <c r="J33" s="171">
        <f t="shared" ref="J33:J49" si="9">SUM(E33:I33)</f>
        <v>0</v>
      </c>
      <c r="K33" s="62">
        <f t="shared" ref="K33:K49" si="10">IF(D33=0,C33+J33,D33+J33)</f>
        <v>0</v>
      </c>
      <c r="L33" s="170">
        <f>SUM(L34:L36)</f>
        <v>0</v>
      </c>
    </row>
    <row r="34" spans="1:12" s="159" customFormat="1" x14ac:dyDescent="0.2">
      <c r="A34" s="173" t="str">
        <f>'[2]Org structure'!E69</f>
        <v>7.1 - Corporate Wide Strategic Planning (IDP &amp; LED)</v>
      </c>
      <c r="B34" s="197"/>
      <c r="C34" s="236"/>
      <c r="D34" s="236"/>
      <c r="E34" s="236"/>
      <c r="F34" s="236"/>
      <c r="G34" s="236"/>
      <c r="H34" s="236"/>
      <c r="I34" s="236"/>
      <c r="J34" s="236">
        <f t="shared" si="9"/>
        <v>0</v>
      </c>
      <c r="K34" s="236">
        <f t="shared" si="10"/>
        <v>0</v>
      </c>
      <c r="L34" s="236"/>
    </row>
    <row r="35" spans="1:12" s="159" customFormat="1" ht="12" customHeight="1" x14ac:dyDescent="0.2">
      <c r="A35" s="238" t="str">
        <f>'[2]Org structure'!E70</f>
        <v>7.2 - Town Planning and Building Regulations</v>
      </c>
      <c r="B35" s="197"/>
      <c r="C35" s="239"/>
      <c r="D35" s="239"/>
      <c r="E35" s="236"/>
      <c r="F35" s="236"/>
      <c r="G35" s="236"/>
      <c r="H35" s="236"/>
      <c r="I35" s="236"/>
      <c r="J35" s="236">
        <f t="shared" si="9"/>
        <v>0</v>
      </c>
      <c r="K35" s="236">
        <f t="shared" si="10"/>
        <v>0</v>
      </c>
      <c r="L35" s="236"/>
    </row>
    <row r="36" spans="1:12" s="159" customFormat="1" ht="12" customHeight="1" x14ac:dyDescent="0.2">
      <c r="A36" s="552" t="str">
        <f>'[2]Org structure'!E71</f>
        <v>7.3 - Project Management Unit</v>
      </c>
      <c r="B36" s="552"/>
      <c r="C36" s="552"/>
      <c r="D36" s="552"/>
      <c r="E36" s="552"/>
      <c r="F36" s="552"/>
      <c r="G36" s="552"/>
      <c r="H36" s="552"/>
      <c r="I36" s="552"/>
      <c r="J36" s="552">
        <f t="shared" si="9"/>
        <v>0</v>
      </c>
      <c r="K36" s="552">
        <f t="shared" si="10"/>
        <v>0</v>
      </c>
      <c r="L36" s="552"/>
    </row>
    <row r="37" spans="1:12" ht="11.25" customHeight="1" x14ac:dyDescent="0.2">
      <c r="A37" s="72" t="str">
        <f>'[2]Org structure'!A9</f>
        <v>Vote 8 - Road Transport</v>
      </c>
      <c r="B37" s="70"/>
      <c r="C37" s="240">
        <f t="shared" ref="C37:I37" si="11">SUM(C38:C40)</f>
        <v>56740758</v>
      </c>
      <c r="D37" s="240">
        <f t="shared" si="11"/>
        <v>0</v>
      </c>
      <c r="E37" s="240">
        <f t="shared" si="11"/>
        <v>0</v>
      </c>
      <c r="F37" s="240">
        <f t="shared" si="11"/>
        <v>0</v>
      </c>
      <c r="G37" s="240">
        <f t="shared" si="11"/>
        <v>0</v>
      </c>
      <c r="H37" s="240">
        <f t="shared" si="11"/>
        <v>0</v>
      </c>
      <c r="I37" s="240">
        <f t="shared" si="11"/>
        <v>-10482116</v>
      </c>
      <c r="J37" s="240">
        <f t="shared" si="9"/>
        <v>-10482116</v>
      </c>
      <c r="K37" s="240">
        <f t="shared" si="10"/>
        <v>46258642</v>
      </c>
      <c r="L37" s="240">
        <f>SUM(L38:L40)</f>
        <v>65046386</v>
      </c>
    </row>
    <row r="38" spans="1:12" ht="11.25" customHeight="1" x14ac:dyDescent="0.2">
      <c r="A38" s="72" t="str">
        <f>'[2]Org structure'!E80</f>
        <v>8.1 - Road and Traffic Regulations</v>
      </c>
      <c r="C38" s="240"/>
      <c r="D38" s="240"/>
      <c r="E38" s="241"/>
      <c r="F38" s="242"/>
      <c r="G38" s="241"/>
      <c r="H38" s="241"/>
      <c r="I38" s="241"/>
      <c r="J38" s="241">
        <f t="shared" si="9"/>
        <v>0</v>
      </c>
      <c r="K38" s="241">
        <f t="shared" si="10"/>
        <v>0</v>
      </c>
      <c r="L38" s="241"/>
    </row>
    <row r="39" spans="1:12" ht="11.25" customHeight="1" x14ac:dyDescent="0.2">
      <c r="A39" s="46" t="str">
        <f>'[2]Org structure'!E81</f>
        <v>8.2 - Roads</v>
      </c>
      <c r="C39" s="46">
        <v>56740758</v>
      </c>
      <c r="I39" s="46">
        <f>-11182116+700000</f>
        <v>-10482116</v>
      </c>
      <c r="J39" s="46">
        <f t="shared" si="9"/>
        <v>-10482116</v>
      </c>
      <c r="K39" s="46">
        <f t="shared" si="10"/>
        <v>46258642</v>
      </c>
      <c r="L39" s="46">
        <f>39044261+26002125</f>
        <v>65046386</v>
      </c>
    </row>
    <row r="40" spans="1:12" ht="11.25" customHeight="1" x14ac:dyDescent="0.2">
      <c r="A40" s="46" t="str">
        <f>'[2]Org structure'!E82</f>
        <v>8.3 - Taxi Ranks</v>
      </c>
      <c r="J40" s="46">
        <f t="shared" si="9"/>
        <v>0</v>
      </c>
      <c r="K40" s="46">
        <f t="shared" si="10"/>
        <v>0</v>
      </c>
    </row>
    <row r="41" spans="1:12" ht="11.25" customHeight="1" x14ac:dyDescent="0.2">
      <c r="A41" s="46" t="str">
        <f>'[2]Org structure'!A10</f>
        <v>Vote 9 - Energy Sources</v>
      </c>
      <c r="C41" s="46">
        <f t="shared" ref="C41:I41" si="12">SUM(C42:C43)</f>
        <v>0</v>
      </c>
      <c r="D41" s="46">
        <f t="shared" si="12"/>
        <v>0</v>
      </c>
      <c r="E41" s="46">
        <f t="shared" si="12"/>
        <v>0</v>
      </c>
      <c r="F41" s="46">
        <f t="shared" si="12"/>
        <v>0</v>
      </c>
      <c r="G41" s="46">
        <f t="shared" si="12"/>
        <v>0</v>
      </c>
      <c r="H41" s="46">
        <f t="shared" si="12"/>
        <v>0</v>
      </c>
      <c r="I41" s="46">
        <f t="shared" si="12"/>
        <v>0</v>
      </c>
      <c r="J41" s="46">
        <f t="shared" si="9"/>
        <v>0</v>
      </c>
      <c r="K41" s="46">
        <f t="shared" si="10"/>
        <v>0</v>
      </c>
      <c r="L41" s="46">
        <f>SUM(L42:L43)</f>
        <v>0</v>
      </c>
    </row>
    <row r="42" spans="1:12" ht="11.25" customHeight="1" x14ac:dyDescent="0.2">
      <c r="A42" s="46" t="str">
        <f>'[2]Org structure'!E91</f>
        <v>9.1 - Electricity</v>
      </c>
      <c r="J42" s="46">
        <f t="shared" si="9"/>
        <v>0</v>
      </c>
      <c r="K42" s="46">
        <f t="shared" si="10"/>
        <v>0</v>
      </c>
    </row>
    <row r="43" spans="1:12" ht="11.25" customHeight="1" x14ac:dyDescent="0.2">
      <c r="A43" s="46" t="str">
        <f>'[2]Org structure'!E92</f>
        <v>9.2 - Street Lighting</v>
      </c>
      <c r="J43" s="46">
        <f t="shared" si="9"/>
        <v>0</v>
      </c>
      <c r="K43" s="46">
        <f t="shared" si="10"/>
        <v>0</v>
      </c>
    </row>
    <row r="44" spans="1:12" ht="11.25" customHeight="1" x14ac:dyDescent="0.2">
      <c r="A44" s="46" t="str">
        <f>'[2]Org structure'!A11</f>
        <v>Vote 10 - Waste Water Management</v>
      </c>
      <c r="C44" s="46">
        <f t="shared" ref="C44:I44" si="13">SUM(C45:C45)</f>
        <v>0</v>
      </c>
      <c r="D44" s="46">
        <f t="shared" si="13"/>
        <v>0</v>
      </c>
      <c r="E44" s="46">
        <f t="shared" si="13"/>
        <v>0</v>
      </c>
      <c r="F44" s="46">
        <f t="shared" si="13"/>
        <v>0</v>
      </c>
      <c r="G44" s="46">
        <f t="shared" si="13"/>
        <v>0</v>
      </c>
      <c r="H44" s="46">
        <f t="shared" si="13"/>
        <v>0</v>
      </c>
      <c r="I44" s="46">
        <f t="shared" si="13"/>
        <v>0</v>
      </c>
      <c r="J44" s="46">
        <f t="shared" si="9"/>
        <v>0</v>
      </c>
      <c r="K44" s="46">
        <f t="shared" si="10"/>
        <v>0</v>
      </c>
      <c r="L44" s="46">
        <f>SUM(L45:L45)</f>
        <v>0</v>
      </c>
    </row>
    <row r="45" spans="1:12" ht="11.25" customHeight="1" x14ac:dyDescent="0.2">
      <c r="A45" s="46" t="str">
        <f>'[2]Org structure'!E102</f>
        <v>10.1 - Public Toilets</v>
      </c>
      <c r="J45" s="46">
        <f t="shared" si="9"/>
        <v>0</v>
      </c>
      <c r="K45" s="46">
        <f t="shared" si="10"/>
        <v>0</v>
      </c>
    </row>
    <row r="46" spans="1:12" ht="11.25" customHeight="1" x14ac:dyDescent="0.2">
      <c r="A46" s="46" t="str">
        <f>'[2]Org structure'!A12</f>
        <v>Vote 11 - Waste Management</v>
      </c>
      <c r="C46" s="46">
        <f t="shared" ref="C46:I46" si="14">SUM(C47:C47)</f>
        <v>0</v>
      </c>
      <c r="D46" s="46">
        <f t="shared" si="14"/>
        <v>0</v>
      </c>
      <c r="E46" s="46">
        <f t="shared" si="14"/>
        <v>0</v>
      </c>
      <c r="F46" s="46">
        <f t="shared" si="14"/>
        <v>0</v>
      </c>
      <c r="G46" s="46">
        <f t="shared" si="14"/>
        <v>0</v>
      </c>
      <c r="H46" s="46">
        <f t="shared" si="14"/>
        <v>0</v>
      </c>
      <c r="I46" s="46">
        <f t="shared" si="14"/>
        <v>0</v>
      </c>
      <c r="J46" s="46">
        <f t="shared" si="9"/>
        <v>0</v>
      </c>
      <c r="K46" s="46">
        <f t="shared" si="10"/>
        <v>0</v>
      </c>
      <c r="L46" s="46">
        <f>SUM(L47:L47)</f>
        <v>0</v>
      </c>
    </row>
    <row r="47" spans="1:12" ht="11.25" customHeight="1" x14ac:dyDescent="0.2">
      <c r="A47" s="46" t="str">
        <f>'[2]Org structure'!E113</f>
        <v>11.1 - Solid Waste Removal</v>
      </c>
      <c r="J47" s="46">
        <f t="shared" si="9"/>
        <v>0</v>
      </c>
      <c r="K47" s="46">
        <f>IF(D47=0,C47+J47,D47+J47)</f>
        <v>0</v>
      </c>
    </row>
    <row r="48" spans="1:12" x14ac:dyDescent="0.2">
      <c r="A48" s="46" t="str">
        <f>'[2]Org structure'!A13</f>
        <v>Vote 12 - [NAME OF VOTE 12]</v>
      </c>
      <c r="C48" s="46">
        <f t="shared" ref="C48:I48" si="15">SUM(C49:C49)</f>
        <v>0</v>
      </c>
      <c r="D48" s="46">
        <f t="shared" si="15"/>
        <v>0</v>
      </c>
      <c r="E48" s="46">
        <f t="shared" si="15"/>
        <v>0</v>
      </c>
      <c r="F48" s="46">
        <f t="shared" si="15"/>
        <v>0</v>
      </c>
      <c r="G48" s="46">
        <f t="shared" si="15"/>
        <v>0</v>
      </c>
      <c r="H48" s="46">
        <f t="shared" si="15"/>
        <v>0</v>
      </c>
      <c r="I48" s="46">
        <f t="shared" si="15"/>
        <v>0</v>
      </c>
      <c r="J48" s="46">
        <f t="shared" si="9"/>
        <v>0</v>
      </c>
      <c r="K48" s="46">
        <f t="shared" si="10"/>
        <v>0</v>
      </c>
      <c r="L48" s="46">
        <f>SUM(L49:L49)</f>
        <v>0</v>
      </c>
    </row>
    <row r="49" spans="1:12" x14ac:dyDescent="0.2">
      <c r="A49" s="46" t="str">
        <f>'[2]Org structure'!E124</f>
        <v>12.1 - [Name of sub-vote]</v>
      </c>
      <c r="J49" s="46">
        <f t="shared" si="9"/>
        <v>0</v>
      </c>
      <c r="K49" s="46">
        <f t="shared" si="10"/>
        <v>0</v>
      </c>
    </row>
    <row r="50" spans="1:12" x14ac:dyDescent="0.2">
      <c r="A50" s="46" t="str">
        <f>'[2]Org structure'!A14</f>
        <v>Vote 13 - [NAME OF VOTE 13]</v>
      </c>
      <c r="C50" s="46">
        <f t="shared" ref="C50:I50" si="16">SUM(C51:C51)</f>
        <v>0</v>
      </c>
      <c r="D50" s="46">
        <f t="shared" si="16"/>
        <v>0</v>
      </c>
      <c r="E50" s="46">
        <f t="shared" si="16"/>
        <v>0</v>
      </c>
      <c r="F50" s="46">
        <f t="shared" si="16"/>
        <v>0</v>
      </c>
      <c r="G50" s="46">
        <f t="shared" si="16"/>
        <v>0</v>
      </c>
      <c r="H50" s="46">
        <f t="shared" si="16"/>
        <v>0</v>
      </c>
      <c r="I50" s="46">
        <f t="shared" si="16"/>
        <v>0</v>
      </c>
      <c r="J50" s="46">
        <f t="shared" ref="J50:J56" si="17">SUM(E50:I50)</f>
        <v>0</v>
      </c>
      <c r="K50" s="46">
        <f t="shared" ref="K50:K56" si="18">IF(D50=0,C50+J50,D50+J50)</f>
        <v>0</v>
      </c>
      <c r="L50" s="46">
        <f>SUM(L51:L51)</f>
        <v>0</v>
      </c>
    </row>
    <row r="51" spans="1:12" x14ac:dyDescent="0.2">
      <c r="A51" s="46" t="str">
        <f>'[2]Org structure'!E135</f>
        <v>13.1 - [Name of sub-vote]</v>
      </c>
      <c r="J51" s="46">
        <f t="shared" si="17"/>
        <v>0</v>
      </c>
      <c r="K51" s="46">
        <f t="shared" si="18"/>
        <v>0</v>
      </c>
    </row>
    <row r="52" spans="1:12" x14ac:dyDescent="0.2">
      <c r="A52" s="46" t="str">
        <f>'[2]Org structure'!A15</f>
        <v>Vote 14 - [NAME OF VOTE 14]</v>
      </c>
      <c r="C52" s="46">
        <f t="shared" ref="C52:I52" si="19">SUM(C53:C53)</f>
        <v>0</v>
      </c>
      <c r="D52" s="46">
        <f t="shared" si="19"/>
        <v>0</v>
      </c>
      <c r="E52" s="46">
        <f t="shared" si="19"/>
        <v>0</v>
      </c>
      <c r="F52" s="46">
        <f t="shared" si="19"/>
        <v>0</v>
      </c>
      <c r="G52" s="46">
        <f t="shared" si="19"/>
        <v>0</v>
      </c>
      <c r="H52" s="46">
        <f t="shared" si="19"/>
        <v>0</v>
      </c>
      <c r="I52" s="46">
        <f t="shared" si="19"/>
        <v>0</v>
      </c>
      <c r="J52" s="46">
        <f t="shared" si="17"/>
        <v>0</v>
      </c>
      <c r="K52" s="46">
        <f t="shared" si="18"/>
        <v>0</v>
      </c>
      <c r="L52" s="46">
        <f>SUM(L53:L53)</f>
        <v>0</v>
      </c>
    </row>
    <row r="53" spans="1:12" x14ac:dyDescent="0.2">
      <c r="A53" s="46" t="str">
        <f>'[2]Org structure'!E146</f>
        <v>14.1 - [Name of sub-vote]</v>
      </c>
      <c r="J53" s="46">
        <f t="shared" si="17"/>
        <v>0</v>
      </c>
      <c r="K53" s="46">
        <f t="shared" si="18"/>
        <v>0</v>
      </c>
    </row>
    <row r="54" spans="1:12" x14ac:dyDescent="0.2">
      <c r="A54" s="46" t="str">
        <f>'[2]Org structure'!A16</f>
        <v>Vote 15 - [NAME OF VOTE 15]</v>
      </c>
      <c r="C54" s="46">
        <f t="shared" ref="C54:I54" si="20">SUM(C55:C55)</f>
        <v>0</v>
      </c>
      <c r="D54" s="46">
        <f t="shared" si="20"/>
        <v>0</v>
      </c>
      <c r="E54" s="46">
        <f t="shared" si="20"/>
        <v>0</v>
      </c>
      <c r="F54" s="46">
        <f t="shared" si="20"/>
        <v>0</v>
      </c>
      <c r="G54" s="46">
        <f t="shared" si="20"/>
        <v>0</v>
      </c>
      <c r="H54" s="46">
        <f t="shared" si="20"/>
        <v>0</v>
      </c>
      <c r="I54" s="46">
        <f t="shared" si="20"/>
        <v>0</v>
      </c>
      <c r="J54" s="46">
        <f t="shared" si="17"/>
        <v>0</v>
      </c>
      <c r="K54" s="46">
        <f t="shared" si="18"/>
        <v>0</v>
      </c>
      <c r="L54" s="46">
        <f>SUM(L55:L55)</f>
        <v>0</v>
      </c>
    </row>
    <row r="55" spans="1:12" x14ac:dyDescent="0.2">
      <c r="A55" s="46" t="str">
        <f>'[2]Org structure'!E157</f>
        <v>15.1 - [Name of sub-vote]</v>
      </c>
      <c r="J55" s="46">
        <f t="shared" si="17"/>
        <v>0</v>
      </c>
      <c r="K55" s="46">
        <f t="shared" si="18"/>
        <v>0</v>
      </c>
    </row>
    <row r="56" spans="1:12" x14ac:dyDescent="0.2">
      <c r="A56" s="46" t="s">
        <v>431</v>
      </c>
      <c r="C56" s="46">
        <f t="shared" ref="C56:I56" si="21">C8+C11+C22+C24+C29+C31+C33+C37+C41+C44+C46+C48+C50+C52+C54</f>
        <v>103476173</v>
      </c>
      <c r="D56" s="46">
        <f t="shared" si="21"/>
        <v>0</v>
      </c>
      <c r="E56" s="46">
        <f t="shared" si="21"/>
        <v>0</v>
      </c>
      <c r="F56" s="46">
        <f t="shared" si="21"/>
        <v>0</v>
      </c>
      <c r="G56" s="46">
        <f t="shared" si="21"/>
        <v>0</v>
      </c>
      <c r="H56" s="46">
        <f t="shared" si="21"/>
        <v>0</v>
      </c>
      <c r="I56" s="46">
        <f t="shared" si="21"/>
        <v>-23555894.27</v>
      </c>
      <c r="J56" s="46">
        <f t="shared" si="17"/>
        <v>-23555894.27</v>
      </c>
      <c r="K56" s="46">
        <f t="shared" si="18"/>
        <v>79920278.730000004</v>
      </c>
      <c r="L56" s="46">
        <f>L8+L11+L22+L24+L29+L31+L33+L37+L41+L44+L46+L48+L50+L52+L54</f>
        <v>98779274</v>
      </c>
    </row>
    <row r="58" spans="1:12" x14ac:dyDescent="0.2">
      <c r="A58" s="46" t="s">
        <v>911</v>
      </c>
      <c r="B58" s="47">
        <v>2</v>
      </c>
    </row>
    <row r="59" spans="1:12" x14ac:dyDescent="0.2">
      <c r="A59" s="46" t="s">
        <v>913</v>
      </c>
    </row>
    <row r="60" spans="1:12" x14ac:dyDescent="0.2">
      <c r="A60" s="46" t="str">
        <f>[2]B5B!A8</f>
        <v>Vote 1 - Executive &amp; Council</v>
      </c>
      <c r="C60" s="46">
        <f t="shared" ref="C60:I60" si="22">SUM(C61:C62)</f>
        <v>525000</v>
      </c>
      <c r="D60" s="46">
        <f t="shared" si="22"/>
        <v>0</v>
      </c>
      <c r="E60" s="46">
        <f t="shared" si="22"/>
        <v>0</v>
      </c>
      <c r="F60" s="46">
        <f t="shared" si="22"/>
        <v>0</v>
      </c>
      <c r="G60" s="46">
        <f t="shared" si="22"/>
        <v>0</v>
      </c>
      <c r="H60" s="46">
        <f t="shared" si="22"/>
        <v>0</v>
      </c>
      <c r="I60" s="46">
        <f t="shared" si="22"/>
        <v>-525000</v>
      </c>
      <c r="J60" s="46">
        <f t="shared" ref="J60:J84" si="23">SUM(E60:I60)</f>
        <v>-525000</v>
      </c>
      <c r="K60" s="46">
        <f t="shared" ref="K60:K84" si="24">IF(D60=0,C60+J60,D60+J60)</f>
        <v>0</v>
      </c>
      <c r="L60" s="46">
        <f>SUM(L61:L62)</f>
        <v>0</v>
      </c>
    </row>
    <row r="61" spans="1:12" x14ac:dyDescent="0.2">
      <c r="A61" s="46" t="str">
        <f>[2]B5B!A9</f>
        <v>1.1 - Mayor and Council</v>
      </c>
      <c r="C61" s="46">
        <v>525000</v>
      </c>
      <c r="I61" s="46">
        <v>-525000</v>
      </c>
      <c r="J61" s="46">
        <f t="shared" si="23"/>
        <v>-525000</v>
      </c>
      <c r="K61" s="46">
        <f t="shared" si="24"/>
        <v>0</v>
      </c>
    </row>
    <row r="62" spans="1:12" x14ac:dyDescent="0.2">
      <c r="A62" s="46" t="str">
        <f>[2]B5B!A10</f>
        <v>1.2 - Municipal Manager</v>
      </c>
      <c r="C62" s="46">
        <v>0</v>
      </c>
      <c r="J62" s="46">
        <f t="shared" si="23"/>
        <v>0</v>
      </c>
      <c r="K62" s="46">
        <f t="shared" si="24"/>
        <v>0</v>
      </c>
    </row>
    <row r="63" spans="1:12" x14ac:dyDescent="0.2">
      <c r="A63" s="46" t="str">
        <f>[2]B5B!A19</f>
        <v>Vote 2 - Finance and Administration</v>
      </c>
      <c r="C63" s="46">
        <f>SUM(C64:C73)</f>
        <v>4417000</v>
      </c>
      <c r="D63" s="46">
        <f t="shared" ref="D63:I63" si="25">SUM(D64:D73)</f>
        <v>0</v>
      </c>
      <c r="E63" s="46">
        <f t="shared" si="25"/>
        <v>0</v>
      </c>
      <c r="F63" s="46">
        <f t="shared" si="25"/>
        <v>0</v>
      </c>
      <c r="G63" s="46">
        <f t="shared" si="25"/>
        <v>0</v>
      </c>
      <c r="H63" s="46">
        <f t="shared" si="25"/>
        <v>0</v>
      </c>
      <c r="I63" s="46">
        <f t="shared" si="25"/>
        <v>-1778800</v>
      </c>
      <c r="J63" s="46">
        <f t="shared" si="23"/>
        <v>-1778800</v>
      </c>
      <c r="K63" s="46">
        <f t="shared" si="24"/>
        <v>2638200</v>
      </c>
      <c r="L63" s="46">
        <f>SUM(L64:L73)</f>
        <v>0</v>
      </c>
    </row>
    <row r="64" spans="1:12" x14ac:dyDescent="0.2">
      <c r="A64" s="46" t="str">
        <f>[2]B5B!A20</f>
        <v>2.1 - Administrative and Corporate Support</v>
      </c>
      <c r="C64" s="46">
        <v>0</v>
      </c>
      <c r="J64" s="46">
        <f t="shared" si="23"/>
        <v>0</v>
      </c>
      <c r="K64" s="46">
        <f t="shared" si="24"/>
        <v>0</v>
      </c>
    </row>
    <row r="65" spans="1:12" x14ac:dyDescent="0.2">
      <c r="A65" s="46" t="str">
        <f>[2]B5B!A21</f>
        <v>2.2 - Asset Management</v>
      </c>
      <c r="C65" s="46">
        <v>0</v>
      </c>
      <c r="J65" s="46">
        <f t="shared" si="23"/>
        <v>0</v>
      </c>
      <c r="K65" s="46">
        <f t="shared" si="24"/>
        <v>0</v>
      </c>
    </row>
    <row r="66" spans="1:12" x14ac:dyDescent="0.2">
      <c r="A66" s="46" t="str">
        <f>[2]B5B!A22</f>
        <v>2.3 - Budget and Treasury Office</v>
      </c>
      <c r="C66" s="46">
        <v>2167000</v>
      </c>
      <c r="I66" s="46">
        <f>-1306000+2250-674050</f>
        <v>-1977800</v>
      </c>
      <c r="J66" s="46">
        <f t="shared" si="23"/>
        <v>-1977800</v>
      </c>
      <c r="K66" s="46">
        <f t="shared" si="24"/>
        <v>189200</v>
      </c>
    </row>
    <row r="67" spans="1:12" x14ac:dyDescent="0.2">
      <c r="A67" s="46" t="str">
        <f>[2]B5B!A23</f>
        <v>2.4 - Human Resource</v>
      </c>
      <c r="C67" s="46">
        <v>0</v>
      </c>
      <c r="J67" s="46">
        <f t="shared" si="23"/>
        <v>0</v>
      </c>
      <c r="K67" s="46">
        <f t="shared" si="24"/>
        <v>0</v>
      </c>
    </row>
    <row r="68" spans="1:12" x14ac:dyDescent="0.2">
      <c r="A68" s="46" t="str">
        <f>[2]B5B!A24</f>
        <v>2.5 - Information Technology</v>
      </c>
      <c r="C68" s="46">
        <v>1250000</v>
      </c>
      <c r="I68" s="46">
        <f>-925000+1000000</f>
        <v>75000</v>
      </c>
      <c r="J68" s="46">
        <f t="shared" si="23"/>
        <v>75000</v>
      </c>
      <c r="K68" s="46">
        <f t="shared" si="24"/>
        <v>1325000</v>
      </c>
    </row>
    <row r="69" spans="1:12" x14ac:dyDescent="0.2">
      <c r="A69" s="46" t="str">
        <f>[2]B5B!A25</f>
        <v>2.6 - Legal Services</v>
      </c>
      <c r="C69" s="46">
        <v>0</v>
      </c>
      <c r="J69" s="46">
        <f t="shared" si="23"/>
        <v>0</v>
      </c>
      <c r="K69" s="46">
        <f t="shared" si="24"/>
        <v>0</v>
      </c>
    </row>
    <row r="70" spans="1:12" x14ac:dyDescent="0.2">
      <c r="A70" s="46" t="str">
        <f>[2]B5B!A26</f>
        <v>2.7 - Customer Relation and Coordination</v>
      </c>
      <c r="C70" s="46">
        <v>35000</v>
      </c>
      <c r="I70" s="46">
        <v>-35000</v>
      </c>
      <c r="J70" s="46">
        <f t="shared" si="23"/>
        <v>-35000</v>
      </c>
      <c r="K70" s="46">
        <f t="shared" si="24"/>
        <v>0</v>
      </c>
    </row>
    <row r="71" spans="1:12" x14ac:dyDescent="0.2">
      <c r="A71" s="46" t="str">
        <f>[2]B5B!A27</f>
        <v>2.8 - Property Services</v>
      </c>
      <c r="C71" s="46">
        <v>965000</v>
      </c>
      <c r="I71" s="46">
        <f>155000+4000</f>
        <v>159000</v>
      </c>
      <c r="J71" s="46">
        <f t="shared" si="23"/>
        <v>159000</v>
      </c>
      <c r="K71" s="46">
        <f t="shared" si="24"/>
        <v>1124000</v>
      </c>
    </row>
    <row r="72" spans="1:12" x14ac:dyDescent="0.2">
      <c r="A72" s="46" t="str">
        <f>[2]B5B!A28</f>
        <v>2.8 - Property Services</v>
      </c>
      <c r="C72" s="46">
        <v>0</v>
      </c>
      <c r="J72" s="46">
        <f t="shared" si="23"/>
        <v>0</v>
      </c>
      <c r="K72" s="46">
        <f t="shared" si="24"/>
        <v>0</v>
      </c>
    </row>
    <row r="73" spans="1:12" x14ac:dyDescent="0.2">
      <c r="A73" s="46" t="str">
        <f>[2]B5B!A29</f>
        <v>2.10 - Supply Chain Management</v>
      </c>
      <c r="C73" s="46">
        <v>0</v>
      </c>
      <c r="J73" s="46">
        <f t="shared" si="23"/>
        <v>0</v>
      </c>
      <c r="K73" s="46">
        <f t="shared" si="24"/>
        <v>0</v>
      </c>
    </row>
    <row r="74" spans="1:12" x14ac:dyDescent="0.2">
      <c r="A74" s="46" t="str">
        <f>[2]B5B!A30</f>
        <v>Vote 3 - Internal Audit</v>
      </c>
      <c r="C74" s="46">
        <f t="shared" ref="C74:I74" si="26">SUM(C75:C75)</f>
        <v>0</v>
      </c>
      <c r="D74" s="46">
        <f t="shared" si="26"/>
        <v>0</v>
      </c>
      <c r="E74" s="46">
        <f t="shared" si="26"/>
        <v>0</v>
      </c>
      <c r="F74" s="46">
        <f t="shared" si="26"/>
        <v>0</v>
      </c>
      <c r="G74" s="46">
        <f t="shared" si="26"/>
        <v>0</v>
      </c>
      <c r="H74" s="46">
        <f t="shared" si="26"/>
        <v>0</v>
      </c>
      <c r="I74" s="46">
        <f t="shared" si="26"/>
        <v>0</v>
      </c>
      <c r="J74" s="46">
        <f t="shared" si="23"/>
        <v>0</v>
      </c>
      <c r="K74" s="46">
        <f t="shared" si="24"/>
        <v>0</v>
      </c>
      <c r="L74" s="46">
        <f>SUM(L75:L75)</f>
        <v>0</v>
      </c>
    </row>
    <row r="75" spans="1:12" x14ac:dyDescent="0.2">
      <c r="A75" s="46" t="str">
        <f>[2]B5B!A31</f>
        <v>3.1 - Governance Function</v>
      </c>
      <c r="C75" s="46">
        <v>0</v>
      </c>
      <c r="J75" s="46">
        <f t="shared" si="23"/>
        <v>0</v>
      </c>
      <c r="K75" s="46">
        <f t="shared" si="24"/>
        <v>0</v>
      </c>
    </row>
    <row r="76" spans="1:12" x14ac:dyDescent="0.2">
      <c r="A76" s="46" t="str">
        <f>[2]B5B!A41</f>
        <v>Vote 4 - Community and Public Safety</v>
      </c>
      <c r="C76" s="46">
        <f t="shared" ref="C76:I76" si="27">SUM(C77:C80)</f>
        <v>1863000</v>
      </c>
      <c r="D76" s="46">
        <f t="shared" si="27"/>
        <v>0</v>
      </c>
      <c r="E76" s="46">
        <f t="shared" si="27"/>
        <v>0</v>
      </c>
      <c r="F76" s="46">
        <f t="shared" si="27"/>
        <v>0</v>
      </c>
      <c r="G76" s="46">
        <f t="shared" si="27"/>
        <v>0</v>
      </c>
      <c r="H76" s="46">
        <f t="shared" si="27"/>
        <v>0</v>
      </c>
      <c r="I76" s="46">
        <f t="shared" si="27"/>
        <v>-1430000</v>
      </c>
      <c r="J76" s="46">
        <f t="shared" si="23"/>
        <v>-1430000</v>
      </c>
      <c r="K76" s="46">
        <f t="shared" si="24"/>
        <v>433000</v>
      </c>
      <c r="L76" s="46">
        <f>SUM(L77:L80)</f>
        <v>0</v>
      </c>
    </row>
    <row r="77" spans="1:12" x14ac:dyDescent="0.2">
      <c r="A77" s="46" t="str">
        <f>[2]B5B!A42</f>
        <v>4.1 - Cemetries and crematoriums</v>
      </c>
      <c r="C77" s="46">
        <v>0</v>
      </c>
      <c r="I77" s="46">
        <v>0</v>
      </c>
      <c r="J77" s="46">
        <f t="shared" si="23"/>
        <v>0</v>
      </c>
      <c r="K77" s="46">
        <f t="shared" si="24"/>
        <v>0</v>
      </c>
    </row>
    <row r="78" spans="1:12" x14ac:dyDescent="0.2">
      <c r="A78" s="46" t="str">
        <f>[2]B5B!A43</f>
        <v>4.2 - Community halls and Facilities</v>
      </c>
      <c r="C78" s="46">
        <f>1500000+30000</f>
        <v>1530000</v>
      </c>
      <c r="I78" s="46">
        <v>-1300000</v>
      </c>
      <c r="J78" s="46">
        <f t="shared" si="23"/>
        <v>-1300000</v>
      </c>
      <c r="K78" s="46">
        <f t="shared" si="24"/>
        <v>230000</v>
      </c>
    </row>
    <row r="79" spans="1:12" x14ac:dyDescent="0.2">
      <c r="A79" s="46" t="str">
        <f>[2]B5B!A44</f>
        <v>4.3 - Disaster Management</v>
      </c>
      <c r="C79" s="46">
        <v>330000</v>
      </c>
      <c r="I79" s="46">
        <f>-80000-50000</f>
        <v>-130000</v>
      </c>
      <c r="J79" s="46">
        <f t="shared" si="23"/>
        <v>-130000</v>
      </c>
      <c r="K79" s="46">
        <f t="shared" si="24"/>
        <v>200000</v>
      </c>
    </row>
    <row r="80" spans="1:12" x14ac:dyDescent="0.2">
      <c r="A80" s="46" t="str">
        <f>[2]B5B!A45</f>
        <v>4.4 - Libraries and Archives</v>
      </c>
      <c r="C80" s="46">
        <v>3000</v>
      </c>
      <c r="I80" s="46">
        <v>0</v>
      </c>
      <c r="J80" s="46">
        <f t="shared" si="23"/>
        <v>0</v>
      </c>
      <c r="K80" s="46">
        <f t="shared" si="24"/>
        <v>3000</v>
      </c>
    </row>
    <row r="81" spans="1:12" x14ac:dyDescent="0.2">
      <c r="A81" s="46" t="str">
        <f>[2]B5B!A52</f>
        <v>Vote 5 - Sports and Recreation</v>
      </c>
      <c r="C81" s="46">
        <f t="shared" ref="C81:I81" si="28">SUM(C82:C82)</f>
        <v>0</v>
      </c>
      <c r="D81" s="46">
        <f t="shared" si="28"/>
        <v>0</v>
      </c>
      <c r="E81" s="46">
        <f t="shared" si="28"/>
        <v>0</v>
      </c>
      <c r="F81" s="46">
        <f t="shared" si="28"/>
        <v>0</v>
      </c>
      <c r="G81" s="46">
        <f t="shared" si="28"/>
        <v>0</v>
      </c>
      <c r="H81" s="46">
        <f t="shared" si="28"/>
        <v>0</v>
      </c>
      <c r="I81" s="46">
        <f t="shared" si="28"/>
        <v>0</v>
      </c>
      <c r="J81" s="46">
        <f t="shared" si="23"/>
        <v>0</v>
      </c>
      <c r="K81" s="46">
        <f t="shared" si="24"/>
        <v>0</v>
      </c>
      <c r="L81" s="46">
        <f>SUM(L82:L82)</f>
        <v>8750000</v>
      </c>
    </row>
    <row r="82" spans="1:12" x14ac:dyDescent="0.2">
      <c r="A82" s="46" t="str">
        <f>[2]B5B!A53</f>
        <v>5.1 - Community parks</v>
      </c>
      <c r="C82" s="46">
        <v>0</v>
      </c>
      <c r="J82" s="46">
        <f t="shared" si="23"/>
        <v>0</v>
      </c>
      <c r="K82" s="46">
        <f t="shared" si="24"/>
        <v>0</v>
      </c>
      <c r="L82" s="46">
        <v>8750000</v>
      </c>
    </row>
    <row r="83" spans="1:12" x14ac:dyDescent="0.2">
      <c r="A83" s="46" t="str">
        <f>[2]B5B!A63</f>
        <v>Vote 6 - Housing</v>
      </c>
      <c r="C83" s="46">
        <f t="shared" ref="C83:I83" si="29">SUM(C84:C84)</f>
        <v>0</v>
      </c>
      <c r="D83" s="46">
        <f t="shared" si="29"/>
        <v>0</v>
      </c>
      <c r="E83" s="46">
        <f t="shared" si="29"/>
        <v>0</v>
      </c>
      <c r="F83" s="46">
        <f t="shared" si="29"/>
        <v>0</v>
      </c>
      <c r="G83" s="46">
        <f t="shared" si="29"/>
        <v>0</v>
      </c>
      <c r="H83" s="46">
        <f t="shared" si="29"/>
        <v>0</v>
      </c>
      <c r="I83" s="46">
        <f t="shared" si="29"/>
        <v>0</v>
      </c>
      <c r="J83" s="46">
        <f t="shared" si="23"/>
        <v>0</v>
      </c>
      <c r="K83" s="46">
        <f t="shared" si="24"/>
        <v>0</v>
      </c>
      <c r="L83" s="46">
        <f>SUM(L84:L84)</f>
        <v>0</v>
      </c>
    </row>
    <row r="84" spans="1:12" x14ac:dyDescent="0.2">
      <c r="A84" s="46" t="str">
        <f>[2]B5B!A64</f>
        <v>6.1 - Housing</v>
      </c>
      <c r="J84" s="46">
        <f t="shared" si="23"/>
        <v>0</v>
      </c>
      <c r="K84" s="46">
        <f t="shared" si="24"/>
        <v>0</v>
      </c>
    </row>
    <row r="85" spans="1:12" x14ac:dyDescent="0.2">
      <c r="A85" s="46" t="str">
        <f>[2]B5B!A74</f>
        <v xml:space="preserve">Vote 7 - Planning and development </v>
      </c>
      <c r="C85" s="46">
        <f t="shared" ref="C85:I85" si="30">SUM(C86:C88)</f>
        <v>0</v>
      </c>
      <c r="D85" s="46">
        <f t="shared" si="30"/>
        <v>0</v>
      </c>
      <c r="E85" s="46">
        <f t="shared" si="30"/>
        <v>0</v>
      </c>
      <c r="F85" s="46">
        <f t="shared" si="30"/>
        <v>0</v>
      </c>
      <c r="G85" s="46">
        <f t="shared" si="30"/>
        <v>0</v>
      </c>
      <c r="H85" s="46">
        <f t="shared" si="30"/>
        <v>0</v>
      </c>
      <c r="I85" s="46">
        <f t="shared" si="30"/>
        <v>0</v>
      </c>
      <c r="J85" s="46">
        <f t="shared" ref="J85:J101" si="31">SUM(E85:I85)</f>
        <v>0</v>
      </c>
      <c r="K85" s="46">
        <f t="shared" ref="K85:K101" si="32">IF(D85=0,C85+J85,D85+J85)</f>
        <v>0</v>
      </c>
      <c r="L85" s="46">
        <f>SUM(L86:L88)</f>
        <v>0</v>
      </c>
    </row>
    <row r="86" spans="1:12" x14ac:dyDescent="0.2">
      <c r="A86" s="46" t="str">
        <f>[2]B5B!A75</f>
        <v>7.1 - Corporate Wide Strategic Planning (IDP &amp; LED)</v>
      </c>
      <c r="J86" s="46">
        <f t="shared" si="31"/>
        <v>0</v>
      </c>
      <c r="K86" s="46">
        <f t="shared" si="32"/>
        <v>0</v>
      </c>
    </row>
    <row r="87" spans="1:12" x14ac:dyDescent="0.2">
      <c r="A87" s="46" t="str">
        <f>[2]B5B!A76</f>
        <v>7.2 - Town Planning and Building Regulations</v>
      </c>
      <c r="J87" s="46">
        <f t="shared" si="31"/>
        <v>0</v>
      </c>
      <c r="K87" s="46">
        <f t="shared" si="32"/>
        <v>0</v>
      </c>
    </row>
    <row r="88" spans="1:12" x14ac:dyDescent="0.2">
      <c r="A88" s="46" t="str">
        <f>[2]B5B!A77</f>
        <v>7.3 - Project Management Unit</v>
      </c>
      <c r="J88" s="46">
        <f t="shared" si="31"/>
        <v>0</v>
      </c>
      <c r="K88" s="46">
        <f t="shared" si="32"/>
        <v>0</v>
      </c>
    </row>
    <row r="89" spans="1:12" x14ac:dyDescent="0.2">
      <c r="A89" s="46" t="str">
        <f>[2]B5B!A85</f>
        <v>Vote 8 - Road Transport</v>
      </c>
      <c r="C89" s="46">
        <f t="shared" ref="C89:I89" si="33">SUM(C90:C92)</f>
        <v>15543047</v>
      </c>
      <c r="D89" s="46">
        <f t="shared" si="33"/>
        <v>0</v>
      </c>
      <c r="E89" s="46">
        <f t="shared" si="33"/>
        <v>0</v>
      </c>
      <c r="F89" s="46">
        <f t="shared" si="33"/>
        <v>0</v>
      </c>
      <c r="G89" s="46">
        <f t="shared" si="33"/>
        <v>0</v>
      </c>
      <c r="H89" s="46">
        <f t="shared" si="33"/>
        <v>0</v>
      </c>
      <c r="I89" s="46">
        <f t="shared" si="33"/>
        <v>232404</v>
      </c>
      <c r="J89" s="46">
        <f t="shared" si="31"/>
        <v>232404</v>
      </c>
      <c r="K89" s="46">
        <f t="shared" si="32"/>
        <v>15775451</v>
      </c>
      <c r="L89" s="46">
        <f>SUM(L90:L92)</f>
        <v>4947986</v>
      </c>
    </row>
    <row r="90" spans="1:12" x14ac:dyDescent="0.2">
      <c r="A90" s="46" t="str">
        <f>[2]B5B!A86</f>
        <v>8.1 - Road and Traffic Regulations</v>
      </c>
      <c r="C90" s="46">
        <v>2830000</v>
      </c>
      <c r="I90" s="46">
        <f>-1390000-1440000</f>
        <v>-2830000</v>
      </c>
      <c r="J90" s="46">
        <f t="shared" si="31"/>
        <v>-2830000</v>
      </c>
      <c r="K90" s="46">
        <f t="shared" si="32"/>
        <v>0</v>
      </c>
    </row>
    <row r="91" spans="1:12" x14ac:dyDescent="0.2">
      <c r="A91" s="46" t="str">
        <f>[2]B5B!A87</f>
        <v>8.2 - Roads</v>
      </c>
      <c r="C91" s="46">
        <f>350000+1050000+2500000+2500000+1500000+600000+3513047-100000</f>
        <v>11913047</v>
      </c>
      <c r="I91" s="46">
        <f>-350000-1050000-2500000-2500000-1500000-600000+12362404</f>
        <v>3862404</v>
      </c>
      <c r="J91" s="46">
        <f t="shared" si="31"/>
        <v>3862404</v>
      </c>
      <c r="K91" s="46">
        <f t="shared" si="32"/>
        <v>15775451</v>
      </c>
      <c r="L91" s="46">
        <v>4947986</v>
      </c>
    </row>
    <row r="92" spans="1:12" x14ac:dyDescent="0.2">
      <c r="A92" s="46" t="str">
        <f>[2]B5B!A88</f>
        <v>8.3 - Taxi Ranks</v>
      </c>
      <c r="C92" s="46">
        <v>800000</v>
      </c>
      <c r="I92" s="46">
        <v>-800000</v>
      </c>
      <c r="J92" s="46">
        <f t="shared" si="31"/>
        <v>-800000</v>
      </c>
      <c r="K92" s="46">
        <f t="shared" si="32"/>
        <v>0</v>
      </c>
    </row>
    <row r="93" spans="1:12" x14ac:dyDescent="0.2">
      <c r="A93" s="46" t="str">
        <f>[2]B5B!A96</f>
        <v>Vote 9 - Energy Sources</v>
      </c>
      <c r="C93" s="46">
        <f t="shared" ref="C93:I93" si="34">SUM(C94:C95)</f>
        <v>15100000</v>
      </c>
      <c r="D93" s="46">
        <f t="shared" si="34"/>
        <v>0</v>
      </c>
      <c r="E93" s="46">
        <f t="shared" si="34"/>
        <v>0</v>
      </c>
      <c r="F93" s="46">
        <f t="shared" si="34"/>
        <v>0</v>
      </c>
      <c r="G93" s="46">
        <f t="shared" si="34"/>
        <v>0</v>
      </c>
      <c r="H93" s="46">
        <f t="shared" si="34"/>
        <v>0</v>
      </c>
      <c r="I93" s="46">
        <f t="shared" si="34"/>
        <v>-1014309</v>
      </c>
      <c r="J93" s="46">
        <f t="shared" si="31"/>
        <v>-1014309</v>
      </c>
      <c r="K93" s="46">
        <f t="shared" si="32"/>
        <v>14085691</v>
      </c>
      <c r="L93" s="46">
        <f>SUM(L94:L95)</f>
        <v>9500000</v>
      </c>
    </row>
    <row r="94" spans="1:12" x14ac:dyDescent="0.2">
      <c r="A94" s="46" t="str">
        <f>[2]B5B!A97</f>
        <v>9.1 - Electricity</v>
      </c>
      <c r="C94" s="46">
        <v>11800000</v>
      </c>
      <c r="I94" s="46">
        <f>-1169952-829357+4285000</f>
        <v>2285691</v>
      </c>
      <c r="J94" s="46">
        <f t="shared" si="31"/>
        <v>2285691</v>
      </c>
      <c r="K94" s="46">
        <f t="shared" si="32"/>
        <v>14085691</v>
      </c>
      <c r="L94" s="46">
        <v>7000000</v>
      </c>
    </row>
    <row r="95" spans="1:12" x14ac:dyDescent="0.2">
      <c r="A95" s="46" t="str">
        <f>[2]B5B!A98</f>
        <v>9.2 - Street Lighting</v>
      </c>
      <c r="C95" s="46">
        <v>3300000</v>
      </c>
      <c r="I95" s="46">
        <v>-3300000</v>
      </c>
      <c r="J95" s="46">
        <f t="shared" si="31"/>
        <v>-3300000</v>
      </c>
      <c r="K95" s="46">
        <f t="shared" si="32"/>
        <v>0</v>
      </c>
      <c r="L95" s="46">
        <v>2500000</v>
      </c>
    </row>
    <row r="96" spans="1:12" x14ac:dyDescent="0.2">
      <c r="A96" s="46" t="str">
        <f>[2]B5B!A107</f>
        <v>Vote 10 - Waste Water Management</v>
      </c>
      <c r="C96" s="46">
        <f t="shared" ref="C96:I96" si="35">SUM(C97:C97)</f>
        <v>3680000</v>
      </c>
      <c r="D96" s="46">
        <f t="shared" si="35"/>
        <v>0</v>
      </c>
      <c r="E96" s="46">
        <f t="shared" si="35"/>
        <v>0</v>
      </c>
      <c r="F96" s="46">
        <f t="shared" si="35"/>
        <v>0</v>
      </c>
      <c r="G96" s="46">
        <f t="shared" si="35"/>
        <v>0</v>
      </c>
      <c r="H96" s="46">
        <f t="shared" si="35"/>
        <v>0</v>
      </c>
      <c r="I96" s="46">
        <f t="shared" si="35"/>
        <v>-1906108</v>
      </c>
      <c r="J96" s="46">
        <f t="shared" si="31"/>
        <v>-1906108</v>
      </c>
      <c r="K96" s="46">
        <f t="shared" si="32"/>
        <v>1773892</v>
      </c>
      <c r="L96" s="46">
        <f>SUM(L97:L97)</f>
        <v>2000000</v>
      </c>
    </row>
    <row r="97" spans="1:12" x14ac:dyDescent="0.2">
      <c r="A97" s="46" t="str">
        <f>[2]B5B!A108</f>
        <v>10.1 - Public Toilets</v>
      </c>
      <c r="C97" s="46">
        <v>3680000</v>
      </c>
      <c r="I97" s="46">
        <f>-2180000+273892</f>
        <v>-1906108</v>
      </c>
      <c r="J97" s="46">
        <f t="shared" si="31"/>
        <v>-1906108</v>
      </c>
      <c r="K97" s="46">
        <f t="shared" si="32"/>
        <v>1773892</v>
      </c>
      <c r="L97" s="46">
        <v>2000000</v>
      </c>
    </row>
    <row r="98" spans="1:12" x14ac:dyDescent="0.2">
      <c r="A98" s="46" t="str">
        <f>[2]B5B!A118</f>
        <v>Vote 11 - Waste Management</v>
      </c>
      <c r="C98" s="46">
        <f t="shared" ref="C98:I98" si="36">SUM(C99:C99)</f>
        <v>6750000</v>
      </c>
      <c r="D98" s="46">
        <f t="shared" si="36"/>
        <v>0</v>
      </c>
      <c r="E98" s="46">
        <f t="shared" si="36"/>
        <v>0</v>
      </c>
      <c r="F98" s="46">
        <f t="shared" si="36"/>
        <v>0</v>
      </c>
      <c r="G98" s="46">
        <f t="shared" si="36"/>
        <v>0</v>
      </c>
      <c r="H98" s="46">
        <f t="shared" si="36"/>
        <v>0</v>
      </c>
      <c r="I98" s="46">
        <f t="shared" si="36"/>
        <v>-4670000</v>
      </c>
      <c r="J98" s="46">
        <f t="shared" si="31"/>
        <v>-4670000</v>
      </c>
      <c r="K98" s="46">
        <f t="shared" si="32"/>
        <v>2080000</v>
      </c>
      <c r="L98" s="46">
        <f>SUM(L99:L99)</f>
        <v>0</v>
      </c>
    </row>
    <row r="99" spans="1:12" x14ac:dyDescent="0.2">
      <c r="A99" s="46" t="str">
        <f>[2]B5B!A119</f>
        <v>11.1 - Solid Waste Removal</v>
      </c>
      <c r="C99" s="46">
        <f>6850000-100000</f>
        <v>6750000</v>
      </c>
      <c r="I99" s="46">
        <f>-6210000+1540000</f>
        <v>-4670000</v>
      </c>
      <c r="J99" s="46">
        <f t="shared" si="31"/>
        <v>-4670000</v>
      </c>
      <c r="K99" s="46">
        <f>IF(D99=0,C99+J99,D99+J99)</f>
        <v>2080000</v>
      </c>
    </row>
    <row r="100" spans="1:12" x14ac:dyDescent="0.2">
      <c r="A100" s="46" t="str">
        <f>[2]B5B!A129</f>
        <v>Vote 12 - [NAME OF VOTE 12]</v>
      </c>
      <c r="C100" s="46">
        <f t="shared" ref="C100:I100" si="37">SUM(C101:C101)</f>
        <v>0</v>
      </c>
      <c r="D100" s="46">
        <f t="shared" si="37"/>
        <v>0</v>
      </c>
      <c r="E100" s="46">
        <f t="shared" si="37"/>
        <v>0</v>
      </c>
      <c r="F100" s="46">
        <f t="shared" si="37"/>
        <v>0</v>
      </c>
      <c r="G100" s="46">
        <f t="shared" si="37"/>
        <v>0</v>
      </c>
      <c r="H100" s="46">
        <f t="shared" si="37"/>
        <v>0</v>
      </c>
      <c r="I100" s="46">
        <f t="shared" si="37"/>
        <v>0</v>
      </c>
      <c r="J100" s="46">
        <f t="shared" si="31"/>
        <v>0</v>
      </c>
      <c r="K100" s="46">
        <f t="shared" si="32"/>
        <v>0</v>
      </c>
      <c r="L100" s="46">
        <f>SUM(L101:L101)</f>
        <v>0</v>
      </c>
    </row>
    <row r="101" spans="1:12" x14ac:dyDescent="0.2">
      <c r="A101" s="46" t="str">
        <f>[2]B5B!A130</f>
        <v>12.1 - [Name of sub-vote]</v>
      </c>
      <c r="J101" s="46">
        <f t="shared" si="31"/>
        <v>0</v>
      </c>
      <c r="K101" s="46">
        <f t="shared" si="32"/>
        <v>0</v>
      </c>
    </row>
    <row r="102" spans="1:12" x14ac:dyDescent="0.2">
      <c r="A102" s="46" t="str">
        <f>[2]B5B!A140</f>
        <v>Vote 13 - [NAME OF VOTE 13]</v>
      </c>
      <c r="C102" s="46">
        <f t="shared" ref="C102:I102" si="38">SUM(C103:C103)</f>
        <v>0</v>
      </c>
      <c r="D102" s="46">
        <f t="shared" si="38"/>
        <v>0</v>
      </c>
      <c r="E102" s="46">
        <f t="shared" si="38"/>
        <v>0</v>
      </c>
      <c r="F102" s="46">
        <f t="shared" si="38"/>
        <v>0</v>
      </c>
      <c r="G102" s="46">
        <f t="shared" si="38"/>
        <v>0</v>
      </c>
      <c r="H102" s="46">
        <f t="shared" si="38"/>
        <v>0</v>
      </c>
      <c r="I102" s="46">
        <f t="shared" si="38"/>
        <v>0</v>
      </c>
      <c r="J102" s="46">
        <f t="shared" ref="J102:J108" si="39">SUM(E102:I102)</f>
        <v>0</v>
      </c>
      <c r="K102" s="46">
        <f t="shared" ref="K102:K108" si="40">IF(D102=0,C102+J102,D102+J102)</f>
        <v>0</v>
      </c>
      <c r="L102" s="46">
        <f>SUM(L103:L103)</f>
        <v>0</v>
      </c>
    </row>
    <row r="103" spans="1:12" x14ac:dyDescent="0.2">
      <c r="A103" s="46" t="str">
        <f>[2]B5B!A141</f>
        <v>13.1 - [Name of sub-vote]</v>
      </c>
      <c r="J103" s="46">
        <f t="shared" si="39"/>
        <v>0</v>
      </c>
      <c r="K103" s="46">
        <f t="shared" si="40"/>
        <v>0</v>
      </c>
    </row>
    <row r="104" spans="1:12" x14ac:dyDescent="0.2">
      <c r="A104" s="46" t="str">
        <f>[2]B5B!A151</f>
        <v>Vote 14 - [NAME OF VOTE 14]</v>
      </c>
      <c r="C104" s="46">
        <f t="shared" ref="C104:I104" si="41">SUM(C105:C105)</f>
        <v>0</v>
      </c>
      <c r="D104" s="46">
        <f t="shared" si="41"/>
        <v>0</v>
      </c>
      <c r="E104" s="46">
        <f t="shared" si="41"/>
        <v>0</v>
      </c>
      <c r="F104" s="46">
        <f t="shared" si="41"/>
        <v>0</v>
      </c>
      <c r="G104" s="46">
        <f t="shared" si="41"/>
        <v>0</v>
      </c>
      <c r="H104" s="46">
        <f t="shared" si="41"/>
        <v>0</v>
      </c>
      <c r="I104" s="46">
        <f t="shared" si="41"/>
        <v>0</v>
      </c>
      <c r="J104" s="46">
        <f t="shared" si="39"/>
        <v>0</v>
      </c>
      <c r="K104" s="46">
        <f t="shared" si="40"/>
        <v>0</v>
      </c>
      <c r="L104" s="46">
        <f>SUM(L105:L105)</f>
        <v>0</v>
      </c>
    </row>
    <row r="105" spans="1:12" x14ac:dyDescent="0.2">
      <c r="A105" s="46" t="str">
        <f>[2]B5B!A152</f>
        <v>14.1 - [Name of sub-vote]</v>
      </c>
      <c r="J105" s="46">
        <f t="shared" si="39"/>
        <v>0</v>
      </c>
      <c r="K105" s="46">
        <f t="shared" si="40"/>
        <v>0</v>
      </c>
    </row>
    <row r="106" spans="1:12" x14ac:dyDescent="0.2">
      <c r="A106" s="46" t="str">
        <f>[2]B5B!A162</f>
        <v>Vote 15 - [NAME OF VOTE 15]</v>
      </c>
      <c r="C106" s="46">
        <f t="shared" ref="C106:I106" si="42">SUM(C107:C107)</f>
        <v>0</v>
      </c>
      <c r="D106" s="46">
        <f t="shared" si="42"/>
        <v>0</v>
      </c>
      <c r="E106" s="46">
        <f t="shared" si="42"/>
        <v>0</v>
      </c>
      <c r="F106" s="46">
        <f t="shared" si="42"/>
        <v>0</v>
      </c>
      <c r="G106" s="46">
        <f t="shared" si="42"/>
        <v>0</v>
      </c>
      <c r="H106" s="46">
        <f t="shared" si="42"/>
        <v>0</v>
      </c>
      <c r="I106" s="46">
        <f t="shared" si="42"/>
        <v>0</v>
      </c>
      <c r="J106" s="46">
        <f t="shared" si="39"/>
        <v>0</v>
      </c>
      <c r="K106" s="46">
        <f t="shared" si="40"/>
        <v>0</v>
      </c>
      <c r="L106" s="46">
        <f>SUM(L107:L107)</f>
        <v>0</v>
      </c>
    </row>
    <row r="107" spans="1:12" x14ac:dyDescent="0.2">
      <c r="A107" s="46" t="str">
        <f>[2]B5B!A163</f>
        <v>15.1 - [Name of sub-vote]</v>
      </c>
      <c r="J107" s="46">
        <f t="shared" si="39"/>
        <v>0</v>
      </c>
      <c r="K107" s="46">
        <f t="shared" si="40"/>
        <v>0</v>
      </c>
    </row>
    <row r="108" spans="1:12" x14ac:dyDescent="0.2">
      <c r="A108" s="46" t="s">
        <v>432</v>
      </c>
      <c r="C108" s="46">
        <f t="shared" ref="C108:I108" si="43">C60+C63+C74+C76+C81+C83+C85+C89+C93+C98+C100+C102+C104+C106+C96</f>
        <v>47878047</v>
      </c>
      <c r="D108" s="46">
        <f t="shared" si="43"/>
        <v>0</v>
      </c>
      <c r="E108" s="46">
        <f t="shared" si="43"/>
        <v>0</v>
      </c>
      <c r="F108" s="46">
        <f t="shared" si="43"/>
        <v>0</v>
      </c>
      <c r="G108" s="46">
        <f t="shared" si="43"/>
        <v>0</v>
      </c>
      <c r="H108" s="46">
        <f t="shared" si="43"/>
        <v>0</v>
      </c>
      <c r="I108" s="46">
        <f t="shared" si="43"/>
        <v>-11091813</v>
      </c>
      <c r="J108" s="46">
        <f t="shared" si="39"/>
        <v>-11091813</v>
      </c>
      <c r="K108" s="46">
        <f t="shared" si="40"/>
        <v>36786234</v>
      </c>
      <c r="L108" s="46">
        <f>L60+L63+L74+L76+L81+L83+L85+L89+L93+L98+L100+L102+L104+L106+L96</f>
        <v>25197986</v>
      </c>
    </row>
    <row r="109" spans="1:12" x14ac:dyDescent="0.2">
      <c r="A109" s="46" t="s">
        <v>433</v>
      </c>
      <c r="C109" s="46">
        <f t="shared" ref="C109:I109" si="44">C108+C56</f>
        <v>151354220</v>
      </c>
      <c r="D109" s="46">
        <f t="shared" si="44"/>
        <v>0</v>
      </c>
      <c r="E109" s="46">
        <f t="shared" si="44"/>
        <v>0</v>
      </c>
      <c r="F109" s="46">
        <f t="shared" si="44"/>
        <v>0</v>
      </c>
      <c r="G109" s="46">
        <f t="shared" si="44"/>
        <v>0</v>
      </c>
      <c r="H109" s="46">
        <f t="shared" si="44"/>
        <v>0</v>
      </c>
      <c r="I109" s="46">
        <f t="shared" si="44"/>
        <v>-34647707.269999996</v>
      </c>
      <c r="J109" s="46">
        <f>SUM(E109:I109)</f>
        <v>-34647707.269999996</v>
      </c>
      <c r="K109" s="46">
        <f>IF(D109=0,C109+J109,D109+J109)</f>
        <v>116706512.73</v>
      </c>
      <c r="L109" s="46">
        <f>L108+L56</f>
        <v>123977260</v>
      </c>
    </row>
    <row r="110" spans="1:12" x14ac:dyDescent="0.2">
      <c r="A110" s="46" t="s">
        <v>882</v>
      </c>
    </row>
    <row r="111" spans="1:12" x14ac:dyDescent="0.2">
      <c r="A111" s="46" t="s">
        <v>883</v>
      </c>
    </row>
    <row r="112" spans="1:12" x14ac:dyDescent="0.2">
      <c r="A112" s="46" t="s">
        <v>391</v>
      </c>
    </row>
  </sheetData>
  <mergeCells count="2">
    <mergeCell ref="A36:L36"/>
    <mergeCell ref="C2:K2"/>
  </mergeCells>
  <conditionalFormatting sqref="C37:L37">
    <cfRule type="cellIs" dxfId="1" priority="1" stopIfTrue="1" operator="notEqual">
      <formula>0</formula>
    </cfRule>
    <cfRule type="cellIs" dxfId="0" priority="2" stopIfTrue="1" operator="notEqual">
      <formula>0</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12</vt:i4>
      </vt:variant>
    </vt:vector>
  </HeadingPairs>
  <TitlesOfParts>
    <vt:vector size="37" baseType="lpstr">
      <vt:lpstr>COVER</vt:lpstr>
      <vt:lpstr>INDEX</vt:lpstr>
      <vt:lpstr>INTRO</vt:lpstr>
      <vt:lpstr>METHODOLOGY</vt:lpstr>
      <vt:lpstr>STRATEGY</vt:lpstr>
      <vt:lpstr>OPERATIONAL STRATEIES</vt:lpstr>
      <vt:lpstr>Table B3</vt:lpstr>
      <vt:lpstr>Table B4</vt:lpstr>
      <vt:lpstr>Table B5</vt:lpstr>
      <vt:lpstr>SB12</vt:lpstr>
      <vt:lpstr>SB13</vt:lpstr>
      <vt:lpstr>SB14</vt:lpstr>
      <vt:lpstr>MTOD KPI</vt:lpstr>
      <vt:lpstr>BSD KPI</vt:lpstr>
      <vt:lpstr>LED KPI</vt:lpstr>
      <vt:lpstr>MFMV KPI</vt:lpstr>
      <vt:lpstr>GGPP KPI</vt:lpstr>
      <vt:lpstr>CWP 2019-2020</vt:lpstr>
      <vt:lpstr>MTOD Annextue A</vt:lpstr>
      <vt:lpstr>BSD Annexture B</vt:lpstr>
      <vt:lpstr>LED Annexture C</vt:lpstr>
      <vt:lpstr>MFMV Annexture D</vt:lpstr>
      <vt:lpstr>GGPP Annexture E</vt:lpstr>
      <vt:lpstr>Removed Projects</vt:lpstr>
      <vt:lpstr>Signature</vt:lpstr>
      <vt:lpstr>'BSD Annexture B'!Print_Area</vt:lpstr>
      <vt:lpstr>'GGPP Annexture E'!Print_Area</vt:lpstr>
      <vt:lpstr>INTRO!Print_Area</vt:lpstr>
      <vt:lpstr>'LED Annexture C'!Print_Area</vt:lpstr>
      <vt:lpstr>'MFMV Annexture D'!Print_Area</vt:lpstr>
      <vt:lpstr>'MTOD KPI'!Print_Area</vt:lpstr>
      <vt:lpstr>'OPERATIONAL STRATEIES'!Print_Area</vt:lpstr>
      <vt:lpstr>'Removed Projects'!Print_Area</vt:lpstr>
      <vt:lpstr>'Table B4'!Print_Area</vt:lpstr>
      <vt:lpstr>'Table B5'!Print_Area</vt:lpstr>
      <vt:lpstr>'MTOD Annextue A'!Print_Titles</vt:lpstr>
      <vt:lpstr>'MTOD KPI'!Print_Titles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Refiloe Malungane</dc:creator>
  <cp:lastModifiedBy>Jimmy Ngolele</cp:lastModifiedBy>
  <cp:lastPrinted>2020-06-25T10:08:13Z</cp:lastPrinted>
  <dcterms:created xsi:type="dcterms:W3CDTF">2017-03-30T10:31:27Z</dcterms:created>
  <dcterms:modified xsi:type="dcterms:W3CDTF">2020-07-10T08:02:07Z</dcterms:modified>
</cp:coreProperties>
</file>